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N:\Quality\Master BGA documents\Master Copies\00 AA Launch files\2025-10-01 Launch SEACURE TNK BBU LNG TCH UCC LPG GCC OSS ROR BCE Ver 2025\"/>
    </mc:Choice>
  </mc:AlternateContent>
  <xr:revisionPtr revIDLastSave="0" documentId="13_ncr:1_{23CA3E40-7074-465A-8895-4B2B18176F39}" xr6:coauthVersionLast="47" xr6:coauthVersionMax="47" xr10:uidLastSave="{00000000-0000-0000-0000-000000000000}"/>
  <bookViews>
    <workbookView xWindow="-120" yWindow="-120" windowWidth="29040" windowHeight="15720" tabRatio="951" xr2:uid="{00000000-000D-0000-FFFF-FFFF00000000}"/>
  </bookViews>
  <sheets>
    <sheet name="Checklist - Basic Ship Oil" sheetId="17" r:id="rId1"/>
    <sheet name="Checklist - Ranking Ship Oil" sheetId="8" r:id="rId2"/>
    <sheet name="Ship - Total Score Review" sheetId="37" r:id="rId3"/>
    <sheet name="NOx Data Sheet" sheetId="45" r:id="rId4"/>
    <sheet name="Ship - CO2 - GloMEEP" sheetId="40" r:id="rId5"/>
    <sheet name="Visual" sheetId="13" r:id="rId6"/>
    <sheet name="Checklist - Visual Oil" sheetId="9" r:id="rId7"/>
  </sheets>
  <definedNames>
    <definedName name="_xlnm.Print_Area" localSheetId="0">'Checklist - Basic Ship Oil'!$A$1:$V$106</definedName>
    <definedName name="_xlnm.Print_Area" localSheetId="1">'Checklist - Ranking Ship Oil'!$A$1:$X$639</definedName>
    <definedName name="_xlnm.Print_Area" localSheetId="6">'Checklist - Visual Oil'!$A$1:$E$294</definedName>
    <definedName name="_xlnm.Print_Area" localSheetId="3">'NOx Data Sheet'!$A$1:$M$77</definedName>
    <definedName name="_xlnm.Print_Area" localSheetId="4">'Ship - CO2 - GloMEEP'!$A$1:$E$74</definedName>
    <definedName name="_xlnm.Print_Area" localSheetId="2">'Ship - Total Score Review'!$A$1:$X$80</definedName>
    <definedName name="_xlnm.Print_Area" localSheetId="5">Visual!$A$1:$H$14</definedName>
    <definedName name="_xlnm.Print_Titles" localSheetId="0">'Checklist - Basic Ship Oil'!$1:$3</definedName>
    <definedName name="_xlnm.Print_Titles" localSheetId="1">'Checklist - Ranking Ship Oil'!$1:$3</definedName>
    <definedName name="_xlnm.Print_Titles" localSheetId="3">'NOx Data Sheet'!$1:$14</definedName>
    <definedName name="_xlnm.Print_Titles" localSheetId="4">'Ship - CO2 - GloMEEP'!$1:$1</definedName>
    <definedName name="_xlnm.Print_Titles" localSheetId="2">'Ship - Total Score Review'!$1:$3</definedName>
    <definedName name="PropulsionImprovements" localSheetId="4">'Ship - CO2 - GloMEEP'!$D$29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20" i="8" l="1"/>
  <c r="W419" i="8"/>
  <c r="W418" i="8"/>
  <c r="W417" i="8"/>
  <c r="W415" i="8"/>
  <c r="W414" i="8"/>
  <c r="W413" i="8"/>
  <c r="V421" i="8" l="1"/>
  <c r="W247" i="8" l="1"/>
  <c r="U247" i="8"/>
  <c r="W510" i="8"/>
  <c r="W508" i="8"/>
  <c r="W504" i="8"/>
  <c r="U508" i="8"/>
  <c r="U504" i="8"/>
  <c r="V415" i="8" l="1"/>
  <c r="U415" i="8"/>
  <c r="U414" i="8"/>
  <c r="U413" i="8"/>
  <c r="W120" i="8" l="1"/>
  <c r="V121" i="8"/>
  <c r="V120" i="8"/>
  <c r="W123" i="8"/>
  <c r="U123" i="8"/>
  <c r="W122" i="8"/>
  <c r="U122" i="8"/>
  <c r="W124" i="8"/>
  <c r="U124" i="8"/>
  <c r="W121" i="8"/>
  <c r="U121" i="8"/>
  <c r="W125" i="8"/>
  <c r="U125" i="8"/>
  <c r="F127" i="8" l="1"/>
  <c r="V126" i="8"/>
  <c r="W624" i="8" l="1"/>
  <c r="U624" i="8"/>
  <c r="T409" i="8"/>
  <c r="W409" i="8" s="1"/>
  <c r="V419" i="8"/>
  <c r="T411" i="8"/>
  <c r="W411" i="8" s="1"/>
  <c r="T410" i="8"/>
  <c r="W410" i="8" s="1"/>
  <c r="U420" i="8"/>
  <c r="U419" i="8"/>
  <c r="U411" i="8"/>
  <c r="U410" i="8"/>
  <c r="U409" i="8"/>
  <c r="U418" i="8"/>
  <c r="V417" i="8"/>
  <c r="U417" i="8"/>
  <c r="V409" i="8" l="1"/>
  <c r="V410" i="8"/>
  <c r="V411" i="8"/>
  <c r="T503" i="8" l="1"/>
  <c r="W525" i="8" l="1"/>
  <c r="U525" i="8"/>
  <c r="F527" i="8"/>
  <c r="V524" i="8"/>
  <c r="V523" i="8"/>
  <c r="V526" i="8" s="1"/>
  <c r="W524" i="8"/>
  <c r="W523" i="8"/>
  <c r="W506" i="8" l="1"/>
  <c r="W505" i="8"/>
  <c r="W503" i="8"/>
  <c r="W501" i="8"/>
  <c r="W500" i="8"/>
  <c r="W495" i="8"/>
  <c r="W492" i="8"/>
  <c r="G1" i="45" l="1"/>
  <c r="D1" i="45"/>
  <c r="A1" i="45"/>
  <c r="W444" i="8"/>
  <c r="W443" i="8"/>
  <c r="W442" i="8"/>
  <c r="W441" i="8"/>
  <c r="W440" i="8"/>
  <c r="W436" i="8"/>
  <c r="W322" i="8"/>
  <c r="J76" i="45"/>
  <c r="N73" i="45"/>
  <c r="K73" i="45"/>
  <c r="K75" i="45" s="1"/>
  <c r="I73" i="45"/>
  <c r="I75" i="45" s="1"/>
  <c r="I76" i="45" s="1"/>
  <c r="G73" i="45"/>
  <c r="G75" i="45" s="1"/>
  <c r="G76" i="45" s="1"/>
  <c r="J69" i="45"/>
  <c r="N66" i="45"/>
  <c r="K66" i="45"/>
  <c r="K68" i="45" s="1"/>
  <c r="I66" i="45"/>
  <c r="I68" i="45" s="1"/>
  <c r="I69" i="45" s="1"/>
  <c r="G66" i="45"/>
  <c r="G68" i="45" s="1"/>
  <c r="G69" i="45" s="1"/>
  <c r="J62" i="45"/>
  <c r="N59" i="45"/>
  <c r="K59" i="45"/>
  <c r="K61" i="45" s="1"/>
  <c r="I59" i="45"/>
  <c r="I61" i="45" s="1"/>
  <c r="I62" i="45" s="1"/>
  <c r="G59" i="45"/>
  <c r="G61" i="45" s="1"/>
  <c r="G62" i="45" s="1"/>
  <c r="J55" i="45"/>
  <c r="H55" i="45"/>
  <c r="N52" i="45"/>
  <c r="K52" i="45"/>
  <c r="K54" i="45" s="1"/>
  <c r="I52" i="45"/>
  <c r="I54" i="45" s="1"/>
  <c r="I55" i="45" s="1"/>
  <c r="G52" i="45"/>
  <c r="G54" i="45" s="1"/>
  <c r="G55" i="45" s="1"/>
  <c r="J48" i="45"/>
  <c r="H48" i="45"/>
  <c r="N45" i="45"/>
  <c r="K45" i="45"/>
  <c r="K47" i="45" s="1"/>
  <c r="I45" i="45"/>
  <c r="I47" i="45" s="1"/>
  <c r="I48" i="45" s="1"/>
  <c r="G45" i="45"/>
  <c r="G47" i="45" s="1"/>
  <c r="G48" i="45" s="1"/>
  <c r="J41" i="45"/>
  <c r="H41" i="45"/>
  <c r="N38" i="45"/>
  <c r="K38" i="45"/>
  <c r="K40" i="45" s="1"/>
  <c r="I38" i="45"/>
  <c r="I40" i="45" s="1"/>
  <c r="I41" i="45" s="1"/>
  <c r="G38" i="45"/>
  <c r="G40" i="45" s="1"/>
  <c r="G41" i="45" s="1"/>
  <c r="J34" i="45"/>
  <c r="H34" i="45"/>
  <c r="N31" i="45"/>
  <c r="K31" i="45"/>
  <c r="K33" i="45" s="1"/>
  <c r="I31" i="45"/>
  <c r="I33" i="45" s="1"/>
  <c r="I34" i="45" s="1"/>
  <c r="G31" i="45"/>
  <c r="G33" i="45" s="1"/>
  <c r="G34" i="45" s="1"/>
  <c r="J27" i="45"/>
  <c r="H27" i="45"/>
  <c r="G26" i="45"/>
  <c r="G27" i="45" s="1"/>
  <c r="N24" i="45"/>
  <c r="K24" i="45"/>
  <c r="K26" i="45" s="1"/>
  <c r="I24" i="45"/>
  <c r="I26" i="45" s="1"/>
  <c r="I27" i="45" s="1"/>
  <c r="G24" i="45"/>
  <c r="J20" i="45"/>
  <c r="H20" i="45"/>
  <c r="N17" i="45"/>
  <c r="K17" i="45"/>
  <c r="K19" i="45" s="1"/>
  <c r="I17" i="45"/>
  <c r="I19" i="45" s="1"/>
  <c r="I20" i="45" s="1"/>
  <c r="G17" i="45"/>
  <c r="G19" i="45" s="1"/>
  <c r="G20" i="45" s="1"/>
  <c r="L12" i="45"/>
  <c r="K12" i="45"/>
  <c r="J12" i="45"/>
  <c r="I12" i="45"/>
  <c r="H12" i="45"/>
  <c r="G11" i="45"/>
  <c r="G12" i="45" s="1"/>
  <c r="T273" i="8" s="1"/>
  <c r="T267" i="8" l="1"/>
  <c r="T270" i="8"/>
  <c r="T268" i="8"/>
  <c r="U498" i="8" l="1"/>
  <c r="U497" i="8"/>
  <c r="U496" i="8"/>
  <c r="U495" i="8"/>
  <c r="V495" i="8"/>
  <c r="V492" i="8"/>
  <c r="Q32" i="37" l="1"/>
  <c r="C32" i="37"/>
  <c r="B32" i="37"/>
  <c r="U219" i="8"/>
  <c r="V220" i="8"/>
  <c r="N32" i="37" s="1"/>
  <c r="W219" i="8"/>
  <c r="W218" i="8"/>
  <c r="U218" i="8"/>
  <c r="W217" i="8"/>
  <c r="U217" i="8"/>
  <c r="W216" i="8"/>
  <c r="U216" i="8"/>
  <c r="AB32" i="37" l="1"/>
  <c r="U220" i="8"/>
  <c r="K32" i="37" s="1"/>
  <c r="F449" i="8" l="1"/>
  <c r="V441" i="8" l="1"/>
  <c r="V442" i="8"/>
  <c r="V444" i="8"/>
  <c r="V443" i="8"/>
  <c r="V446" i="8"/>
  <c r="V440" i="8"/>
  <c r="V436" i="8"/>
  <c r="T447" i="8"/>
  <c r="V447" i="8" s="1"/>
  <c r="U442" i="8"/>
  <c r="U443" i="8"/>
  <c r="U441" i="8"/>
  <c r="T438" i="8"/>
  <c r="T437" i="8"/>
  <c r="U444" i="8"/>
  <c r="U440" i="8"/>
  <c r="W446" i="8"/>
  <c r="U438" i="8"/>
  <c r="V438" i="8" l="1"/>
  <c r="W438" i="8"/>
  <c r="V437" i="8"/>
  <c r="W437" i="8"/>
  <c r="W447" i="8"/>
  <c r="W237" i="8" l="1"/>
  <c r="U635" i="8" l="1"/>
  <c r="W635" i="8"/>
  <c r="U631" i="8"/>
  <c r="W631" i="8"/>
  <c r="Q40" i="37" l="1"/>
  <c r="C40" i="37"/>
  <c r="B40" i="37"/>
  <c r="C23" i="37"/>
  <c r="B23" i="37"/>
  <c r="F251" i="8" l="1"/>
  <c r="V233" i="8"/>
  <c r="V232" i="8"/>
  <c r="V225" i="8"/>
  <c r="T277" i="8"/>
  <c r="V277" i="8" s="1"/>
  <c r="U277" i="8" s="1"/>
  <c r="W277" i="8" l="1"/>
  <c r="V250" i="8"/>
  <c r="U398" i="8"/>
  <c r="V394" i="8"/>
  <c r="V392" i="8"/>
  <c r="U392" i="8"/>
  <c r="U396" i="8"/>
  <c r="T396" i="8"/>
  <c r="V396" i="8" s="1"/>
  <c r="T398" i="8"/>
  <c r="V398" i="8" s="1"/>
  <c r="W394" i="8"/>
  <c r="U394" i="8"/>
  <c r="W392" i="8"/>
  <c r="V399" i="8" l="1"/>
  <c r="N40" i="37" s="1"/>
  <c r="W398" i="8"/>
  <c r="U399" i="8"/>
  <c r="K40" i="37" s="1"/>
  <c r="W396" i="8"/>
  <c r="W621" i="8"/>
  <c r="U621" i="8"/>
  <c r="V462" i="8"/>
  <c r="W461" i="8"/>
  <c r="U461" i="8"/>
  <c r="V171" i="8"/>
  <c r="AB40" i="37" l="1"/>
  <c r="V59" i="8"/>
  <c r="W58" i="8"/>
  <c r="U58" i="8"/>
  <c r="W57" i="8"/>
  <c r="U57" i="8"/>
  <c r="W56" i="8"/>
  <c r="U56" i="8"/>
  <c r="V503" i="8" l="1"/>
  <c r="F157" i="8" l="1"/>
  <c r="Q23" i="37" s="1"/>
  <c r="T155" i="8"/>
  <c r="V155" i="8" s="1"/>
  <c r="T154" i="8"/>
  <c r="V154" i="8" s="1"/>
  <c r="T153" i="8"/>
  <c r="V153" i="8" s="1"/>
  <c r="T152" i="8"/>
  <c r="V152" i="8" s="1"/>
  <c r="T151" i="8"/>
  <c r="V151" i="8" s="1"/>
  <c r="V150" i="8"/>
  <c r="U155" i="8"/>
  <c r="U154" i="8"/>
  <c r="U153" i="8"/>
  <c r="U152" i="8"/>
  <c r="U151" i="8"/>
  <c r="W150" i="8"/>
  <c r="U150" i="8"/>
  <c r="W151" i="8" l="1"/>
  <c r="W155" i="8"/>
  <c r="W152" i="8"/>
  <c r="W153" i="8"/>
  <c r="W154" i="8"/>
  <c r="U156" i="8"/>
  <c r="K23" i="37" s="1"/>
  <c r="V156" i="8"/>
  <c r="N23" i="37" s="1"/>
  <c r="AB23" i="37" s="1"/>
  <c r="W386" i="8" l="1"/>
  <c r="W323" i="8" l="1"/>
  <c r="W383" i="8"/>
  <c r="W384" i="8"/>
  <c r="W381" i="8"/>
  <c r="W382" i="8"/>
  <c r="W380" i="8"/>
  <c r="W377" i="8"/>
  <c r="W372" i="8"/>
  <c r="W373" i="8"/>
  <c r="W374" i="8"/>
  <c r="W375" i="8"/>
  <c r="W376" i="8"/>
  <c r="W371" i="8"/>
  <c r="W368" i="8"/>
  <c r="W363" i="8"/>
  <c r="W364" i="8"/>
  <c r="W365" i="8"/>
  <c r="W366" i="8"/>
  <c r="W367" i="8"/>
  <c r="W362" i="8"/>
  <c r="W358" i="8"/>
  <c r="W350" i="8"/>
  <c r="W351" i="8"/>
  <c r="W352" i="8"/>
  <c r="W353" i="8"/>
  <c r="W354" i="8"/>
  <c r="W355" i="8"/>
  <c r="W356" i="8"/>
  <c r="W357" i="8"/>
  <c r="W338" i="8"/>
  <c r="W339" i="8"/>
  <c r="W340" i="8"/>
  <c r="W341" i="8"/>
  <c r="W342" i="8"/>
  <c r="W343" i="8"/>
  <c r="W344" i="8"/>
  <c r="W345" i="8"/>
  <c r="W337" i="8"/>
  <c r="W349" i="8"/>
  <c r="W324" i="8"/>
  <c r="W330" i="8"/>
  <c r="W331" i="8"/>
  <c r="W332" i="8"/>
  <c r="W333" i="8"/>
  <c r="W329" i="8"/>
  <c r="W327" i="8"/>
  <c r="W346" i="8"/>
  <c r="W467" i="8" l="1"/>
  <c r="T299" i="8" l="1"/>
  <c r="V275" i="8"/>
  <c r="V274" i="8"/>
  <c r="V272" i="8"/>
  <c r="V271" i="8"/>
  <c r="W271" i="8"/>
  <c r="W272" i="8"/>
  <c r="W275" i="8"/>
  <c r="W274" i="8"/>
  <c r="W273" i="8"/>
  <c r="W270" i="8" l="1"/>
  <c r="T507" i="8"/>
  <c r="W507" i="8" s="1"/>
  <c r="T498" i="8"/>
  <c r="T497" i="8"/>
  <c r="T496" i="8"/>
  <c r="T493" i="8"/>
  <c r="V496" i="8" l="1"/>
  <c r="W496" i="8"/>
  <c r="V497" i="8"/>
  <c r="W497" i="8"/>
  <c r="V498" i="8"/>
  <c r="W498" i="8"/>
  <c r="V493" i="8"/>
  <c r="W493" i="8"/>
  <c r="V507" i="8"/>
  <c r="F512" i="8"/>
  <c r="V386" i="8"/>
  <c r="V327" i="8"/>
  <c r="V324" i="8"/>
  <c r="F388" i="8"/>
  <c r="V321" i="8"/>
  <c r="V511" i="8" l="1"/>
  <c r="D5" i="40"/>
  <c r="D4" i="40"/>
  <c r="D3" i="40"/>
  <c r="W347" i="8" l="1"/>
  <c r="W335" i="8"/>
  <c r="W321" i="8" l="1"/>
  <c r="T298" i="8"/>
  <c r="F302" i="8"/>
  <c r="T300" i="8"/>
  <c r="T297" i="8" l="1"/>
  <c r="V297" i="8" s="1"/>
  <c r="W90" i="8" l="1"/>
  <c r="V90" i="8" l="1"/>
  <c r="W515" i="8" l="1"/>
  <c r="W514" i="8"/>
  <c r="U297" i="8" l="1"/>
  <c r="V298" i="8"/>
  <c r="V322" i="8" l="1"/>
  <c r="V387" i="8" s="1"/>
  <c r="U386" i="8"/>
  <c r="W378" i="8"/>
  <c r="U378" i="8"/>
  <c r="W369" i="8" l="1"/>
  <c r="U369" i="8"/>
  <c r="W360" i="8"/>
  <c r="U360" i="8"/>
  <c r="U347" i="8"/>
  <c r="U335" i="8"/>
  <c r="U327" i="8"/>
  <c r="W297" i="8" l="1"/>
  <c r="C35" i="37"/>
  <c r="B35" i="37"/>
  <c r="F286" i="8"/>
  <c r="T282" i="8"/>
  <c r="W282" i="8" s="1"/>
  <c r="T281" i="8"/>
  <c r="V281" i="8" s="1"/>
  <c r="W284" i="8"/>
  <c r="U284" i="8"/>
  <c r="V284" i="8"/>
  <c r="U282" i="8"/>
  <c r="U281" i="8"/>
  <c r="V280" i="8"/>
  <c r="W280" i="8"/>
  <c r="U280" i="8"/>
  <c r="U273" i="8"/>
  <c r="U272" i="8"/>
  <c r="V264" i="8"/>
  <c r="U300" i="8"/>
  <c r="U299" i="8"/>
  <c r="U298" i="8"/>
  <c r="T296" i="8"/>
  <c r="V296" i="8" s="1"/>
  <c r="T295" i="8"/>
  <c r="V295" i="8" s="1"/>
  <c r="V294" i="8"/>
  <c r="V291" i="8"/>
  <c r="V289" i="8"/>
  <c r="U271" i="8" l="1"/>
  <c r="W281" i="8"/>
  <c r="W298" i="8"/>
  <c r="V282" i="8"/>
  <c r="V520" i="8"/>
  <c r="U506" i="8"/>
  <c r="U493" i="8"/>
  <c r="Q14" i="37"/>
  <c r="C14" i="37"/>
  <c r="B14" i="37"/>
  <c r="V91" i="8"/>
  <c r="N14" i="37" s="1"/>
  <c r="U90" i="8"/>
  <c r="W89" i="8"/>
  <c r="U89" i="8"/>
  <c r="W87" i="8"/>
  <c r="U87" i="8"/>
  <c r="W86" i="8"/>
  <c r="U86" i="8"/>
  <c r="W83" i="8"/>
  <c r="U83" i="8"/>
  <c r="W82" i="8"/>
  <c r="U82" i="8"/>
  <c r="W81" i="8"/>
  <c r="U81" i="8"/>
  <c r="W80" i="8"/>
  <c r="U80" i="8"/>
  <c r="Q9" i="37"/>
  <c r="C9" i="37"/>
  <c r="B9" i="37"/>
  <c r="V40" i="8"/>
  <c r="N9" i="37" s="1"/>
  <c r="W39" i="8"/>
  <c r="U39" i="8"/>
  <c r="W38" i="8"/>
  <c r="U38" i="8"/>
  <c r="W300" i="8" l="1"/>
  <c r="V300" i="8"/>
  <c r="W299" i="8"/>
  <c r="V299" i="8"/>
  <c r="AB14" i="37"/>
  <c r="U91" i="8"/>
  <c r="K14" i="37" s="1"/>
  <c r="AB9" i="37"/>
  <c r="U40" i="8"/>
  <c r="K9" i="37" s="1"/>
  <c r="V301" i="8" l="1"/>
  <c r="V273" i="8"/>
  <c r="U28" i="8"/>
  <c r="U27" i="8"/>
  <c r="U26" i="8"/>
  <c r="W28" i="8"/>
  <c r="W27" i="8"/>
  <c r="W26" i="8"/>
  <c r="U274" i="8" l="1"/>
  <c r="W53" i="8"/>
  <c r="U275" i="8" l="1"/>
  <c r="V29" i="8" l="1"/>
  <c r="Q11" i="37" l="1"/>
  <c r="C11" i="37"/>
  <c r="B11" i="37"/>
  <c r="N11" i="37"/>
  <c r="W55" i="8"/>
  <c r="U55" i="8"/>
  <c r="W54" i="8"/>
  <c r="U54" i="8"/>
  <c r="U53" i="8"/>
  <c r="U59" i="8" l="1"/>
  <c r="K11" i="37" s="1"/>
  <c r="AB11" i="37"/>
  <c r="U86" i="17" l="1"/>
  <c r="U85" i="17"/>
  <c r="U84" i="17"/>
  <c r="U83" i="17"/>
  <c r="F118" i="8" l="1"/>
  <c r="V116" i="8"/>
  <c r="V115" i="8"/>
  <c r="V114" i="8"/>
  <c r="V113" i="8"/>
  <c r="V112" i="8"/>
  <c r="V111" i="8"/>
  <c r="V110" i="8"/>
  <c r="W424" i="8" l="1"/>
  <c r="W425" i="8"/>
  <c r="F73" i="8" l="1"/>
  <c r="V63" i="8" l="1"/>
  <c r="W63" i="8"/>
  <c r="W468" i="8" l="1"/>
  <c r="W466" i="8"/>
  <c r="W470" i="8"/>
  <c r="W469" i="8"/>
  <c r="V471" i="8" l="1"/>
  <c r="U467" i="8"/>
  <c r="W609" i="8" l="1"/>
  <c r="U609" i="8"/>
  <c r="A1" i="8" l="1"/>
  <c r="W602" i="8" l="1"/>
  <c r="B63" i="37" l="1"/>
  <c r="Q63" i="37"/>
  <c r="C63" i="37"/>
  <c r="Q33" i="37"/>
  <c r="Q42" i="37"/>
  <c r="Q43" i="37"/>
  <c r="C43" i="37"/>
  <c r="B43" i="37"/>
  <c r="C42" i="37"/>
  <c r="B42" i="37"/>
  <c r="C33" i="37"/>
  <c r="B33" i="37"/>
  <c r="Q17" i="37"/>
  <c r="C17" i="37"/>
  <c r="B17" i="37"/>
  <c r="C13" i="37"/>
  <c r="Q13" i="37"/>
  <c r="B13" i="37"/>
  <c r="Q12" i="37"/>
  <c r="C12" i="37"/>
  <c r="B12" i="37"/>
  <c r="B10" i="37"/>
  <c r="Q10" i="37"/>
  <c r="C10" i="37"/>
  <c r="U310" i="8" l="1"/>
  <c r="U308" i="8"/>
  <c r="U306" i="8"/>
  <c r="U305" i="8"/>
  <c r="U304" i="8"/>
  <c r="W102" i="8" l="1"/>
  <c r="W101" i="8"/>
  <c r="V100" i="8"/>
  <c r="V106" i="8" s="1"/>
  <c r="W100" i="8"/>
  <c r="U100" i="8"/>
  <c r="U101" i="8"/>
  <c r="U102" i="8"/>
  <c r="V426" i="8" l="1"/>
  <c r="N43" i="37" s="1"/>
  <c r="AB43" i="37" s="1"/>
  <c r="U424" i="8"/>
  <c r="U425" i="8"/>
  <c r="W429" i="8"/>
  <c r="N42" i="37"/>
  <c r="U426" i="8" l="1"/>
  <c r="K43" i="37" s="1"/>
  <c r="U421" i="8"/>
  <c r="K42" i="37" l="1"/>
  <c r="AB42" i="37" s="1"/>
  <c r="Y421" i="8"/>
  <c r="N33" i="37" l="1"/>
  <c r="W115" i="8" l="1"/>
  <c r="W114" i="8"/>
  <c r="W113" i="8"/>
  <c r="W112" i="8"/>
  <c r="W111" i="8"/>
  <c r="W110" i="8"/>
  <c r="U81" i="17"/>
  <c r="U80" i="17"/>
  <c r="U79" i="17"/>
  <c r="U78" i="17"/>
  <c r="U76" i="17"/>
  <c r="U75" i="17"/>
  <c r="U74" i="17"/>
  <c r="N18" i="37" l="1"/>
  <c r="V117" i="8"/>
  <c r="N17" i="37" s="1"/>
  <c r="W116" i="8"/>
  <c r="U116" i="8"/>
  <c r="U115" i="8"/>
  <c r="U114" i="8"/>
  <c r="U113" i="8"/>
  <c r="U112" i="8"/>
  <c r="U111" i="8"/>
  <c r="U110" i="8"/>
  <c r="N16" i="37"/>
  <c r="W103" i="8"/>
  <c r="U103" i="8"/>
  <c r="W104" i="8"/>
  <c r="U104" i="8"/>
  <c r="W105" i="8"/>
  <c r="U105" i="8"/>
  <c r="V626" i="8"/>
  <c r="N66" i="37" s="1"/>
  <c r="W619" i="8"/>
  <c r="U619" i="8"/>
  <c r="W617" i="8"/>
  <c r="U617" i="8"/>
  <c r="W620" i="8"/>
  <c r="U620" i="8"/>
  <c r="W623" i="8"/>
  <c r="U623" i="8"/>
  <c r="V612" i="8"/>
  <c r="N65" i="37" s="1"/>
  <c r="U611" i="8"/>
  <c r="W611" i="8"/>
  <c r="V604" i="8"/>
  <c r="N64" i="37" s="1"/>
  <c r="W601" i="8"/>
  <c r="W600" i="8"/>
  <c r="U602" i="8"/>
  <c r="U601" i="8"/>
  <c r="W603" i="8"/>
  <c r="U603" i="8"/>
  <c r="V592" i="8"/>
  <c r="N63" i="37" s="1"/>
  <c r="U591" i="8"/>
  <c r="W590" i="8"/>
  <c r="U590" i="8"/>
  <c r="W591" i="8"/>
  <c r="W589" i="8"/>
  <c r="U589" i="8"/>
  <c r="W588" i="8"/>
  <c r="U588" i="8"/>
  <c r="W587" i="8"/>
  <c r="U587" i="8"/>
  <c r="W586" i="8"/>
  <c r="U586" i="8"/>
  <c r="N36" i="37"/>
  <c r="W296" i="8"/>
  <c r="W295" i="8"/>
  <c r="W294" i="8"/>
  <c r="W291" i="8"/>
  <c r="W289" i="8"/>
  <c r="W232" i="8"/>
  <c r="W233" i="8"/>
  <c r="W225" i="8"/>
  <c r="W224" i="8"/>
  <c r="U224" i="8"/>
  <c r="W246" i="8"/>
  <c r="U246" i="8"/>
  <c r="W239" i="8"/>
  <c r="U239" i="8"/>
  <c r="W245" i="8"/>
  <c r="U245" i="8"/>
  <c r="W244" i="8"/>
  <c r="U244" i="8"/>
  <c r="W228" i="8"/>
  <c r="U228" i="8"/>
  <c r="W243" i="8"/>
  <c r="U243" i="8"/>
  <c r="W235" i="8"/>
  <c r="U235" i="8"/>
  <c r="W234" i="8"/>
  <c r="U234" i="8"/>
  <c r="U233" i="8"/>
  <c r="U232" i="8"/>
  <c r="W231" i="8"/>
  <c r="U231" i="8"/>
  <c r="W227" i="8"/>
  <c r="U227" i="8"/>
  <c r="W226" i="8"/>
  <c r="U226" i="8"/>
  <c r="W241" i="8"/>
  <c r="U241" i="8"/>
  <c r="W249" i="8"/>
  <c r="U249" i="8"/>
  <c r="U237" i="8"/>
  <c r="U225" i="8"/>
  <c r="W242" i="8"/>
  <c r="U242" i="8"/>
  <c r="V76" i="8"/>
  <c r="N13" i="37" s="1"/>
  <c r="W75" i="8"/>
  <c r="V72" i="8"/>
  <c r="N12" i="37" s="1"/>
  <c r="AB12" i="37" s="1"/>
  <c r="U75" i="8"/>
  <c r="W71" i="8"/>
  <c r="U71" i="8"/>
  <c r="W70" i="8"/>
  <c r="U70" i="8"/>
  <c r="W69" i="8"/>
  <c r="U69" i="8"/>
  <c r="W68" i="8"/>
  <c r="U68" i="8"/>
  <c r="W67" i="8"/>
  <c r="U67" i="8"/>
  <c r="W66" i="8"/>
  <c r="W65" i="8"/>
  <c r="U65" i="8"/>
  <c r="W64" i="8"/>
  <c r="U64" i="8"/>
  <c r="U63" i="8"/>
  <c r="U89" i="17"/>
  <c r="U90" i="17"/>
  <c r="U510" i="8"/>
  <c r="N52" i="37"/>
  <c r="U507" i="8"/>
  <c r="U505" i="8"/>
  <c r="U503" i="8"/>
  <c r="U501" i="8"/>
  <c r="U500" i="8"/>
  <c r="U492" i="8"/>
  <c r="C6" i="37"/>
  <c r="Q36" i="37"/>
  <c r="U142" i="8"/>
  <c r="U143" i="8"/>
  <c r="U144" i="8"/>
  <c r="U145" i="8"/>
  <c r="U146" i="8"/>
  <c r="B68" i="37"/>
  <c r="Q68" i="37"/>
  <c r="V638" i="8"/>
  <c r="N68" i="37" s="1"/>
  <c r="U630" i="8"/>
  <c r="U632" i="8"/>
  <c r="U633" i="8"/>
  <c r="U634" i="8"/>
  <c r="U636" i="8"/>
  <c r="U637" i="8"/>
  <c r="C68" i="37"/>
  <c r="V317" i="8"/>
  <c r="N38" i="37" s="1"/>
  <c r="Q5" i="37"/>
  <c r="Q6" i="37"/>
  <c r="Q7" i="37"/>
  <c r="Q8" i="37"/>
  <c r="Q16" i="37"/>
  <c r="Q18" i="37"/>
  <c r="Q19" i="37"/>
  <c r="Q20" i="37"/>
  <c r="Q22" i="37"/>
  <c r="Q24" i="37"/>
  <c r="Q26" i="37"/>
  <c r="Q27" i="37"/>
  <c r="Q28" i="37"/>
  <c r="Q29" i="37"/>
  <c r="Q30" i="37"/>
  <c r="Q34" i="37"/>
  <c r="Q35" i="37"/>
  <c r="Q37" i="37"/>
  <c r="Q38" i="37"/>
  <c r="Q39" i="37"/>
  <c r="Q41" i="37"/>
  <c r="Q44" i="37"/>
  <c r="Q45" i="37"/>
  <c r="Q46" i="37"/>
  <c r="Q47" i="37"/>
  <c r="Q48" i="37"/>
  <c r="Q49" i="37"/>
  <c r="Q50" i="37"/>
  <c r="Q51" i="37"/>
  <c r="Q52" i="37"/>
  <c r="Q53" i="37"/>
  <c r="Q54" i="37"/>
  <c r="Q56" i="37"/>
  <c r="Q57" i="37"/>
  <c r="Q58" i="37"/>
  <c r="Q59" i="37"/>
  <c r="Q60" i="37"/>
  <c r="Q61" i="37"/>
  <c r="Q64" i="37"/>
  <c r="Q65" i="37"/>
  <c r="Q66" i="37"/>
  <c r="V17" i="8"/>
  <c r="N5" i="37" s="1"/>
  <c r="N6" i="37"/>
  <c r="N7" i="37"/>
  <c r="V35" i="8"/>
  <c r="N8" i="37" s="1"/>
  <c r="V50" i="8"/>
  <c r="N10" i="37" s="1"/>
  <c r="AB10" i="37" s="1"/>
  <c r="V131" i="8"/>
  <c r="N19" i="37" s="1"/>
  <c r="V138" i="8"/>
  <c r="N20" i="37" s="1"/>
  <c r="V147" i="8"/>
  <c r="N22" i="37" s="1"/>
  <c r="N24" i="37"/>
  <c r="V182" i="8"/>
  <c r="N26" i="37" s="1"/>
  <c r="V190" i="8"/>
  <c r="N27" i="37" s="1"/>
  <c r="V195" i="8"/>
  <c r="N28" i="37" s="1"/>
  <c r="V208" i="8"/>
  <c r="N29" i="37" s="1"/>
  <c r="V212" i="8"/>
  <c r="N30" i="37" s="1"/>
  <c r="V260" i="8"/>
  <c r="N34" i="37" s="1"/>
  <c r="V311" i="8"/>
  <c r="N37" i="37" s="1"/>
  <c r="N39" i="37"/>
  <c r="V405" i="8"/>
  <c r="N41" i="37" s="1"/>
  <c r="N44" i="37"/>
  <c r="V448" i="8"/>
  <c r="N45" i="37" s="1"/>
  <c r="V455" i="8"/>
  <c r="N46" i="37" s="1"/>
  <c r="N47" i="37"/>
  <c r="N48" i="37"/>
  <c r="V475" i="8"/>
  <c r="N49" i="37" s="1"/>
  <c r="V483" i="8"/>
  <c r="N50" i="37" s="1"/>
  <c r="V488" i="8"/>
  <c r="N51" i="37" s="1"/>
  <c r="N53" i="37"/>
  <c r="N54" i="37"/>
  <c r="V534" i="8"/>
  <c r="N56" i="37" s="1"/>
  <c r="V540" i="8"/>
  <c r="N57" i="37" s="1"/>
  <c r="N58" i="37"/>
  <c r="V564" i="8"/>
  <c r="N59" i="37" s="1"/>
  <c r="V575" i="8"/>
  <c r="N60" i="37" s="1"/>
  <c r="V582" i="8"/>
  <c r="N61" i="37" s="1"/>
  <c r="U43" i="8"/>
  <c r="U44" i="8"/>
  <c r="U45" i="8"/>
  <c r="U46" i="8"/>
  <c r="U47" i="8"/>
  <c r="U48" i="8"/>
  <c r="U49" i="8"/>
  <c r="U185" i="8"/>
  <c r="T188" i="8"/>
  <c r="U188" i="8" s="1"/>
  <c r="T189" i="8"/>
  <c r="W189" i="8" s="1"/>
  <c r="U186" i="8"/>
  <c r="U307" i="8"/>
  <c r="U309" i="8"/>
  <c r="U474" i="8"/>
  <c r="U475" i="8" s="1"/>
  <c r="K49" i="37" s="1"/>
  <c r="U486" i="8"/>
  <c r="U487" i="8"/>
  <c r="U530" i="8"/>
  <c r="U531" i="8"/>
  <c r="U532" i="8"/>
  <c r="U533" i="8"/>
  <c r="U551" i="8"/>
  <c r="U553" i="8"/>
  <c r="U554" i="8"/>
  <c r="U543" i="8"/>
  <c r="U544" i="8"/>
  <c r="U545" i="8"/>
  <c r="U546" i="8"/>
  <c r="U547" i="8"/>
  <c r="U548" i="8"/>
  <c r="U549" i="8"/>
  <c r="U550" i="8"/>
  <c r="U552" i="8"/>
  <c r="U9" i="8"/>
  <c r="U6" i="8"/>
  <c r="U7" i="8"/>
  <c r="U8" i="8"/>
  <c r="U10" i="8"/>
  <c r="U11" i="8"/>
  <c r="U12" i="8"/>
  <c r="U13" i="8"/>
  <c r="U14" i="8"/>
  <c r="U15" i="8"/>
  <c r="U16" i="8"/>
  <c r="U20" i="8"/>
  <c r="U21" i="8"/>
  <c r="U25" i="8"/>
  <c r="U32" i="8"/>
  <c r="U33" i="8"/>
  <c r="U34" i="8"/>
  <c r="U95" i="8"/>
  <c r="U96" i="8"/>
  <c r="U97" i="8"/>
  <c r="U98" i="8"/>
  <c r="U99" i="8"/>
  <c r="U120" i="8"/>
  <c r="U129" i="8"/>
  <c r="U130" i="8"/>
  <c r="U134" i="8"/>
  <c r="U135" i="8"/>
  <c r="U136" i="8"/>
  <c r="U137" i="8"/>
  <c r="U161" i="8"/>
  <c r="U163" i="8"/>
  <c r="U165" i="8"/>
  <c r="U167" i="8"/>
  <c r="U168" i="8"/>
  <c r="U170" i="8"/>
  <c r="U175" i="8"/>
  <c r="U176" i="8"/>
  <c r="U177" i="8"/>
  <c r="U178" i="8"/>
  <c r="U179" i="8"/>
  <c r="U180" i="8"/>
  <c r="U181" i="8"/>
  <c r="U193" i="8"/>
  <c r="U194" i="8"/>
  <c r="U198" i="8"/>
  <c r="U199" i="8"/>
  <c r="U200" i="8"/>
  <c r="U202" i="8"/>
  <c r="U201" i="8" s="1"/>
  <c r="U203" i="8"/>
  <c r="U204" i="8"/>
  <c r="U205" i="8"/>
  <c r="U206" i="8"/>
  <c r="U207" i="8"/>
  <c r="U211" i="8"/>
  <c r="U212" i="8" s="1"/>
  <c r="K30" i="37" s="1"/>
  <c r="U253" i="8"/>
  <c r="U254" i="8"/>
  <c r="U255" i="8"/>
  <c r="U256" i="8"/>
  <c r="U257" i="8"/>
  <c r="U258" i="8"/>
  <c r="U259" i="8"/>
  <c r="U264" i="8"/>
  <c r="U267" i="8"/>
  <c r="U268" i="8"/>
  <c r="U289" i="8"/>
  <c r="U291" i="8"/>
  <c r="U294" i="8"/>
  <c r="U295" i="8"/>
  <c r="U296" i="8"/>
  <c r="U314" i="8"/>
  <c r="U315" i="8"/>
  <c r="U316" i="8"/>
  <c r="U321" i="8"/>
  <c r="U322" i="8"/>
  <c r="U324" i="8"/>
  <c r="U404" i="8"/>
  <c r="U403" i="8" s="1"/>
  <c r="U402" i="8" s="1"/>
  <c r="U405" i="8" s="1"/>
  <c r="K41" i="37" s="1"/>
  <c r="U429" i="8"/>
  <c r="U431" i="8"/>
  <c r="U436" i="8"/>
  <c r="U437" i="8"/>
  <c r="U446" i="8"/>
  <c r="U447" i="8"/>
  <c r="U451" i="8"/>
  <c r="U452" i="8"/>
  <c r="U453" i="8"/>
  <c r="U454" i="8"/>
  <c r="U458" i="8"/>
  <c r="U459" i="8"/>
  <c r="U460" i="8"/>
  <c r="U466" i="8"/>
  <c r="U468" i="8"/>
  <c r="U469" i="8"/>
  <c r="U470" i="8"/>
  <c r="U478" i="8"/>
  <c r="U479" i="8"/>
  <c r="U480" i="8"/>
  <c r="U481" i="8"/>
  <c r="U482" i="8"/>
  <c r="U514" i="8"/>
  <c r="U515" i="8"/>
  <c r="U516" i="8"/>
  <c r="U517" i="8"/>
  <c r="U518" i="8"/>
  <c r="U519" i="8"/>
  <c r="U523" i="8"/>
  <c r="U524" i="8"/>
  <c r="U537" i="8"/>
  <c r="U538" i="8"/>
  <c r="U539" i="8"/>
  <c r="U558" i="8"/>
  <c r="U559" i="8"/>
  <c r="U560" i="8"/>
  <c r="U561" i="8"/>
  <c r="U562" i="8"/>
  <c r="U563" i="8"/>
  <c r="U567" i="8"/>
  <c r="U568" i="8"/>
  <c r="U569" i="8"/>
  <c r="U570" i="8"/>
  <c r="U571" i="8"/>
  <c r="U572" i="8"/>
  <c r="U573" i="8"/>
  <c r="U574" i="8"/>
  <c r="U578" i="8"/>
  <c r="U579" i="8"/>
  <c r="U580" i="8"/>
  <c r="U581" i="8"/>
  <c r="U595" i="8"/>
  <c r="U596" i="8"/>
  <c r="U597" i="8"/>
  <c r="U598" i="8"/>
  <c r="U599" i="8"/>
  <c r="U600" i="8"/>
  <c r="U607" i="8"/>
  <c r="U608" i="8"/>
  <c r="U610" i="8"/>
  <c r="U616" i="8"/>
  <c r="U625" i="8"/>
  <c r="C45" i="37"/>
  <c r="C66" i="37"/>
  <c r="B66" i="37"/>
  <c r="C65" i="37"/>
  <c r="B65" i="37"/>
  <c r="C64" i="37"/>
  <c r="B64" i="37"/>
  <c r="C61" i="37"/>
  <c r="B61" i="37"/>
  <c r="C60" i="37"/>
  <c r="B60" i="37"/>
  <c r="C59" i="37"/>
  <c r="B59" i="37"/>
  <c r="C58" i="37"/>
  <c r="B58" i="37"/>
  <c r="C57" i="37"/>
  <c r="B57" i="37"/>
  <c r="B56" i="37"/>
  <c r="C56" i="37"/>
  <c r="C54" i="37"/>
  <c r="B54" i="37"/>
  <c r="C1" i="37"/>
  <c r="C53" i="37"/>
  <c r="B53" i="37"/>
  <c r="C52" i="37"/>
  <c r="B52" i="37"/>
  <c r="C51" i="37"/>
  <c r="B51" i="37"/>
  <c r="C50" i="37"/>
  <c r="B50" i="37"/>
  <c r="C49" i="37"/>
  <c r="B49" i="37"/>
  <c r="C48" i="37"/>
  <c r="B48" i="37"/>
  <c r="C47" i="37"/>
  <c r="B47" i="37"/>
  <c r="C46" i="37"/>
  <c r="B46" i="37"/>
  <c r="B45" i="37"/>
  <c r="C44" i="37"/>
  <c r="B44" i="37"/>
  <c r="B41" i="37"/>
  <c r="C41" i="37"/>
  <c r="C39" i="37"/>
  <c r="B39" i="37"/>
  <c r="C38" i="37"/>
  <c r="B38" i="37"/>
  <c r="C37" i="37"/>
  <c r="B37" i="37"/>
  <c r="B36" i="37"/>
  <c r="C36" i="37"/>
  <c r="C34" i="37"/>
  <c r="B34" i="37"/>
  <c r="C30" i="37"/>
  <c r="B30" i="37"/>
  <c r="C29" i="37"/>
  <c r="B29" i="37"/>
  <c r="C28" i="37"/>
  <c r="B28" i="37"/>
  <c r="C27" i="37"/>
  <c r="B27" i="37"/>
  <c r="C26" i="37"/>
  <c r="B26" i="37"/>
  <c r="C24" i="37"/>
  <c r="B24" i="37"/>
  <c r="C22" i="37"/>
  <c r="B22" i="37"/>
  <c r="C20" i="37"/>
  <c r="B20" i="37"/>
  <c r="C19" i="37"/>
  <c r="B19" i="37"/>
  <c r="C18" i="37"/>
  <c r="B18" i="37"/>
  <c r="C16" i="37"/>
  <c r="B16" i="37"/>
  <c r="C8" i="37"/>
  <c r="B8" i="37"/>
  <c r="C7" i="37"/>
  <c r="B7" i="37"/>
  <c r="B6" i="37"/>
  <c r="C5" i="37"/>
  <c r="B5" i="37"/>
  <c r="C67" i="37"/>
  <c r="B67" i="37"/>
  <c r="C62" i="37"/>
  <c r="B62" i="37"/>
  <c r="C55" i="37"/>
  <c r="B55" i="37"/>
  <c r="C31" i="37"/>
  <c r="B31" i="37"/>
  <c r="C25" i="37"/>
  <c r="C21" i="37"/>
  <c r="C15" i="37"/>
  <c r="B25" i="37"/>
  <c r="B21" i="37"/>
  <c r="B15" i="37"/>
  <c r="B4" i="37"/>
  <c r="C4" i="37"/>
  <c r="W10" i="8"/>
  <c r="A1" i="37"/>
  <c r="V1" i="37"/>
  <c r="W539" i="8"/>
  <c r="W538" i="8"/>
  <c r="W537" i="8"/>
  <c r="W533" i="8"/>
  <c r="W532" i="8"/>
  <c r="W531" i="8"/>
  <c r="W530" i="8"/>
  <c r="W519" i="8"/>
  <c r="W518" i="8"/>
  <c r="W517" i="8"/>
  <c r="W516" i="8"/>
  <c r="W487" i="8"/>
  <c r="W486" i="8"/>
  <c r="W460" i="8"/>
  <c r="W459" i="8"/>
  <c r="W458" i="8"/>
  <c r="W454" i="8"/>
  <c r="W453" i="8"/>
  <c r="W452" i="8"/>
  <c r="W451" i="8"/>
  <c r="W404" i="8"/>
  <c r="W403" i="8"/>
  <c r="W402" i="8"/>
  <c r="W25" i="8"/>
  <c r="V1" i="8"/>
  <c r="C1" i="8"/>
  <c r="W474" i="8"/>
  <c r="W563" i="8"/>
  <c r="W562" i="8"/>
  <c r="W561" i="8"/>
  <c r="W560" i="8"/>
  <c r="W559" i="8"/>
  <c r="W558" i="8"/>
  <c r="W616" i="8"/>
  <c r="W625" i="8"/>
  <c r="W596" i="8"/>
  <c r="W574" i="8"/>
  <c r="W570" i="8"/>
  <c r="W567" i="8"/>
  <c r="W482" i="8"/>
  <c r="W481" i="8"/>
  <c r="W480" i="8"/>
  <c r="W479" i="8"/>
  <c r="W478" i="8"/>
  <c r="W316" i="8"/>
  <c r="W315" i="8"/>
  <c r="W314" i="8"/>
  <c r="W310" i="8"/>
  <c r="W309" i="8"/>
  <c r="W308" i="8"/>
  <c r="W307" i="8"/>
  <c r="W306" i="8"/>
  <c r="W305" i="8"/>
  <c r="W304" i="8"/>
  <c r="W264" i="8"/>
  <c r="W142" i="8"/>
  <c r="W6" i="8"/>
  <c r="W7" i="8"/>
  <c r="W8" i="8"/>
  <c r="W9" i="8"/>
  <c r="W11" i="8"/>
  <c r="W12" i="8"/>
  <c r="W13" i="8"/>
  <c r="W14" i="8"/>
  <c r="W15" i="8"/>
  <c r="W16" i="8"/>
  <c r="W20" i="8"/>
  <c r="W21" i="8"/>
  <c r="W32" i="8"/>
  <c r="W33" i="8"/>
  <c r="W34" i="8"/>
  <c r="W43" i="8"/>
  <c r="W44" i="8"/>
  <c r="W45" i="8"/>
  <c r="W46" i="8"/>
  <c r="W47" i="8"/>
  <c r="W48" i="8"/>
  <c r="W49" i="8"/>
  <c r="W95" i="8"/>
  <c r="W96" i="8"/>
  <c r="W97" i="8"/>
  <c r="W98" i="8"/>
  <c r="W99" i="8"/>
  <c r="W129" i="8"/>
  <c r="W130" i="8"/>
  <c r="W134" i="8"/>
  <c r="W135" i="8"/>
  <c r="W136" i="8"/>
  <c r="W137" i="8"/>
  <c r="W143" i="8"/>
  <c r="W144" i="8"/>
  <c r="W145" i="8"/>
  <c r="W146" i="8"/>
  <c r="W161" i="8"/>
  <c r="W163" i="8"/>
  <c r="W165" i="8"/>
  <c r="W167" i="8"/>
  <c r="W168" i="8"/>
  <c r="W170" i="8"/>
  <c r="W175" i="8"/>
  <c r="W176" i="8"/>
  <c r="W177" i="8"/>
  <c r="W178" i="8"/>
  <c r="W179" i="8"/>
  <c r="W180" i="8"/>
  <c r="W181" i="8"/>
  <c r="W185" i="8"/>
  <c r="W186" i="8"/>
  <c r="W193" i="8"/>
  <c r="W194" i="8"/>
  <c r="W198" i="8"/>
  <c r="W199" i="8"/>
  <c r="W200" i="8"/>
  <c r="W201" i="8"/>
  <c r="W202" i="8"/>
  <c r="W203" i="8"/>
  <c r="W204" i="8"/>
  <c r="W205" i="8"/>
  <c r="W206" i="8"/>
  <c r="W207" i="8"/>
  <c r="W211" i="8"/>
  <c r="W253" i="8"/>
  <c r="W254" i="8"/>
  <c r="W255" i="8"/>
  <c r="W256" i="8"/>
  <c r="W257" i="8"/>
  <c r="W258" i="8"/>
  <c r="W259" i="8"/>
  <c r="W431" i="8"/>
  <c r="W543" i="8"/>
  <c r="W544" i="8"/>
  <c r="W545" i="8"/>
  <c r="W546" i="8"/>
  <c r="W547" i="8"/>
  <c r="W548" i="8"/>
  <c r="W549" i="8"/>
  <c r="W550" i="8"/>
  <c r="W551" i="8"/>
  <c r="W552" i="8"/>
  <c r="W553" i="8"/>
  <c r="W554" i="8"/>
  <c r="W568" i="8"/>
  <c r="W569" i="8"/>
  <c r="W571" i="8"/>
  <c r="W572" i="8"/>
  <c r="W573" i="8"/>
  <c r="W578" i="8"/>
  <c r="W579" i="8"/>
  <c r="W580" i="8"/>
  <c r="W581" i="8"/>
  <c r="W595" i="8"/>
  <c r="W597" i="8"/>
  <c r="W598" i="8"/>
  <c r="W599" i="8"/>
  <c r="W607" i="8"/>
  <c r="W608" i="8"/>
  <c r="W610" i="8"/>
  <c r="W630" i="8"/>
  <c r="W632" i="8"/>
  <c r="W633" i="8"/>
  <c r="W634" i="8"/>
  <c r="W636" i="8"/>
  <c r="W637" i="8"/>
  <c r="U6" i="17"/>
  <c r="U8" i="17"/>
  <c r="U10" i="17"/>
  <c r="U11" i="17"/>
  <c r="U13" i="17"/>
  <c r="U14" i="17"/>
  <c r="U16" i="17"/>
  <c r="U17" i="17"/>
  <c r="U18" i="17"/>
  <c r="U19" i="17"/>
  <c r="U20" i="17"/>
  <c r="U22" i="17"/>
  <c r="U23" i="17"/>
  <c r="U24" i="17"/>
  <c r="U25" i="17"/>
  <c r="U26" i="17"/>
  <c r="U27" i="17"/>
  <c r="U28" i="17"/>
  <c r="U29" i="17"/>
  <c r="U30" i="17"/>
  <c r="U31" i="17"/>
  <c r="U33" i="17"/>
  <c r="U34" i="17"/>
  <c r="U36" i="17"/>
  <c r="U37" i="17"/>
  <c r="U38" i="17"/>
  <c r="U39" i="17"/>
  <c r="U41" i="17"/>
  <c r="U42" i="17"/>
  <c r="U43" i="17"/>
  <c r="U44" i="17"/>
  <c r="U45" i="17"/>
  <c r="U47" i="17"/>
  <c r="U48" i="17"/>
  <c r="U49" i="17"/>
  <c r="U50" i="17"/>
  <c r="U51" i="17"/>
  <c r="U52" i="17"/>
  <c r="U54" i="17"/>
  <c r="U55" i="17"/>
  <c r="U56" i="17"/>
  <c r="U57" i="17"/>
  <c r="U59" i="17"/>
  <c r="U60" i="17"/>
  <c r="U64" i="17"/>
  <c r="U66" i="17"/>
  <c r="U68" i="17"/>
  <c r="U70" i="17"/>
  <c r="U71" i="17"/>
  <c r="U93" i="17"/>
  <c r="U95" i="17"/>
  <c r="U96" i="17"/>
  <c r="U97" i="17"/>
  <c r="U98" i="17"/>
  <c r="U99" i="17"/>
  <c r="U100" i="17"/>
  <c r="U101" i="17"/>
  <c r="U103" i="17"/>
  <c r="U104" i="17"/>
  <c r="U106" i="17"/>
  <c r="U526" i="8" l="1"/>
  <c r="K54" i="37" s="1"/>
  <c r="AB54" i="37" s="1"/>
  <c r="U387" i="8"/>
  <c r="K39" i="37" s="1"/>
  <c r="U448" i="8"/>
  <c r="K45" i="37" s="1"/>
  <c r="AB45" i="37" s="1"/>
  <c r="U250" i="8"/>
  <c r="K33" i="37" s="1"/>
  <c r="U462" i="8"/>
  <c r="K47" i="37" s="1"/>
  <c r="W267" i="8"/>
  <c r="V267" i="8"/>
  <c r="W268" i="8"/>
  <c r="V268" i="8"/>
  <c r="U301" i="8"/>
  <c r="K36" i="37" s="1"/>
  <c r="AB36" i="37" s="1"/>
  <c r="AB29" i="37"/>
  <c r="AB24" i="37"/>
  <c r="U311" i="8"/>
  <c r="K37" i="37" s="1"/>
  <c r="AB30" i="37"/>
  <c r="AB26" i="37"/>
  <c r="Q69" i="37"/>
  <c r="AB60" i="37"/>
  <c r="U29" i="8"/>
  <c r="K7" i="37" s="1"/>
  <c r="AB7" i="37" s="1"/>
  <c r="AB46" i="37"/>
  <c r="AB50" i="37"/>
  <c r="AB39" i="37"/>
  <c r="AB59" i="37"/>
  <c r="AB8" i="37"/>
  <c r="AB52" i="37"/>
  <c r="AB33" i="37"/>
  <c r="U182" i="8"/>
  <c r="K26" i="37" s="1"/>
  <c r="AB48" i="37"/>
  <c r="U612" i="8"/>
  <c r="K65" i="37" s="1"/>
  <c r="U540" i="8"/>
  <c r="K57" i="37" s="1"/>
  <c r="U520" i="8"/>
  <c r="K53" i="37" s="1"/>
  <c r="U432" i="8"/>
  <c r="K44" i="37" s="1"/>
  <c r="AB44" i="37" s="1"/>
  <c r="W188" i="8"/>
  <c r="AB6" i="37"/>
  <c r="U72" i="8"/>
  <c r="K12" i="37" s="1"/>
  <c r="U76" i="8"/>
  <c r="K13" i="37" s="1"/>
  <c r="AB65" i="37"/>
  <c r="AB64" i="37"/>
  <c r="AB57" i="37"/>
  <c r="U195" i="8"/>
  <c r="K28" i="37" s="1"/>
  <c r="AB28" i="37" s="1"/>
  <c r="U22" i="8"/>
  <c r="K6" i="37" s="1"/>
  <c r="U260" i="8"/>
  <c r="K34" i="37" s="1"/>
  <c r="U171" i="8"/>
  <c r="K24" i="37" s="1"/>
  <c r="U17" i="8"/>
  <c r="K5" i="37" s="1"/>
  <c r="AB5" i="37" s="1"/>
  <c r="U534" i="8"/>
  <c r="K56" i="37" s="1"/>
  <c r="AB56" i="37" s="1"/>
  <c r="AB47" i="37"/>
  <c r="AB41" i="37"/>
  <c r="AB63" i="37"/>
  <c r="AB58" i="37"/>
  <c r="AB38" i="37"/>
  <c r="AB68" i="37"/>
  <c r="U592" i="8"/>
  <c r="K63" i="37" s="1"/>
  <c r="AB66" i="37"/>
  <c r="U317" i="8"/>
  <c r="K38" i="37" s="1"/>
  <c r="U208" i="8"/>
  <c r="K29" i="37" s="1"/>
  <c r="U488" i="8"/>
  <c r="K51" i="37" s="1"/>
  <c r="AB51" i="37" s="1"/>
  <c r="AB20" i="37"/>
  <c r="U638" i="8"/>
  <c r="K68" i="37" s="1"/>
  <c r="U626" i="8"/>
  <c r="K66" i="37" s="1"/>
  <c r="U575" i="8"/>
  <c r="K60" i="37" s="1"/>
  <c r="U564" i="8"/>
  <c r="K59" i="37" s="1"/>
  <c r="U483" i="8"/>
  <c r="K50" i="37" s="1"/>
  <c r="U471" i="8"/>
  <c r="K48" i="37" s="1"/>
  <c r="U138" i="8"/>
  <c r="K20" i="37" s="1"/>
  <c r="U131" i="8"/>
  <c r="K19" i="37" s="1"/>
  <c r="AB19" i="37" s="1"/>
  <c r="U35" i="8"/>
  <c r="K8" i="37" s="1"/>
  <c r="U50" i="8"/>
  <c r="AB49" i="37"/>
  <c r="U455" i="8"/>
  <c r="K46" i="37" s="1"/>
  <c r="U147" i="8"/>
  <c r="K22" i="37" s="1"/>
  <c r="AB22" i="37" s="1"/>
  <c r="AB16" i="37"/>
  <c r="U189" i="8"/>
  <c r="U190" i="8" s="1"/>
  <c r="K27" i="37" s="1"/>
  <c r="AB27" i="37" s="1"/>
  <c r="U582" i="8"/>
  <c r="K61" i="37" s="1"/>
  <c r="AB61" i="37" s="1"/>
  <c r="AB37" i="37"/>
  <c r="U511" i="8"/>
  <c r="K52" i="37" s="1"/>
  <c r="U117" i="8"/>
  <c r="K17" i="37" s="1"/>
  <c r="AB17" i="37" s="1"/>
  <c r="U106" i="8"/>
  <c r="K16" i="37" s="1"/>
  <c r="U555" i="8"/>
  <c r="K58" i="37" s="1"/>
  <c r="AB53" i="37"/>
  <c r="AB34" i="37"/>
  <c r="U604" i="8"/>
  <c r="K64" i="37" s="1"/>
  <c r="U126" i="8"/>
  <c r="K18" i="37" s="1"/>
  <c r="AB18" i="37" s="1"/>
  <c r="V285" i="8" l="1"/>
  <c r="N35" i="37" s="1"/>
  <c r="AB13" i="37"/>
  <c r="K10" i="37"/>
  <c r="N69" i="37" l="1"/>
  <c r="V270" i="8"/>
  <c r="U270" i="8" s="1"/>
  <c r="U285" i="8" s="1"/>
  <c r="K35" i="37" s="1"/>
  <c r="K69" i="37" s="1"/>
  <c r="AB35" i="37" l="1"/>
  <c r="AA69" i="37" s="1"/>
  <c r="AB72" i="37"/>
</calcChain>
</file>

<file path=xl/sharedStrings.xml><?xml version="1.0" encoding="utf-8"?>
<sst xmlns="http://schemas.openxmlformats.org/spreadsheetml/2006/main" count="2612" uniqueCount="1841">
  <si>
    <t>5820</t>
  </si>
  <si>
    <t>Management of bilge water and sludge handling onboard</t>
  </si>
  <si>
    <t>Check for clear instructions</t>
  </si>
  <si>
    <t>8115.2</t>
  </si>
  <si>
    <t>SAFETY AND ENVIRONMENTAL PROTECTION POLICY</t>
  </si>
  <si>
    <t>Are computer systems, in relation to IMO MSC/Circ.891, certified by a recognised organisation?</t>
  </si>
  <si>
    <t>DESIGNATED PERSONS</t>
  </si>
  <si>
    <t xml:space="preserve">Cargo Tanks      </t>
  </si>
  <si>
    <t>Is an annual drill performed on board which includes ERS-procedures?</t>
  </si>
  <si>
    <t>Are all senior and deck officers conversant in the English language for maritime communication?</t>
  </si>
  <si>
    <t>All relevant drawings and diagrams available</t>
  </si>
  <si>
    <t>5822.2</t>
  </si>
  <si>
    <t xml:space="preserve">Vapour Emission Control Systems  </t>
  </si>
  <si>
    <t>Is the shipboard personnel prepared to respond to emergency shipboard situations?</t>
  </si>
  <si>
    <t>Does the vessel use gear oil that is certified according to the EEL (all deck equipment)?</t>
  </si>
  <si>
    <t>Are all regulatory certificates valid ?</t>
  </si>
  <si>
    <t>Is a checklist used for bunker operations (company format) ?</t>
  </si>
  <si>
    <t>Anchors, anchor shackles and chain</t>
  </si>
  <si>
    <t>Are results from the assessment evident in the onboard procedures + instructions for ECDIS?</t>
  </si>
  <si>
    <t>Condition check and check double means for P/V</t>
  </si>
  <si>
    <t>8407.10</t>
  </si>
  <si>
    <t>Bunker connections fwd &amp; aft at SB &amp; PS cargo-manifold</t>
  </si>
  <si>
    <t>8407.11</t>
  </si>
  <si>
    <t>Check free access without obstructions</t>
  </si>
  <si>
    <t>8504.2</t>
  </si>
  <si>
    <t>Indicators</t>
  </si>
  <si>
    <t>Check clear markers / positioning</t>
  </si>
  <si>
    <t>5821.9</t>
  </si>
  <si>
    <t>5822</t>
  </si>
  <si>
    <t>Outfitting of sludge handling system</t>
  </si>
  <si>
    <t>5822.1</t>
  </si>
  <si>
    <t>Is the vessel arranged with a cargo vapour collection and return and is the system approved by the classification society?</t>
  </si>
  <si>
    <t>Certificates for Cargo Gear</t>
  </si>
  <si>
    <t>Are there procedures/instructions for the internal transfer of fuel oil between main storage tanks?</t>
  </si>
  <si>
    <t>Starting air system</t>
  </si>
  <si>
    <t>Condition of starting air lines and valves</t>
  </si>
  <si>
    <t>8103.9</t>
  </si>
  <si>
    <t>Cooling water system</t>
  </si>
  <si>
    <t>Life boat + davits</t>
  </si>
  <si>
    <t>Safety plan</t>
  </si>
  <si>
    <t>Ventilation and lighting interlocked</t>
  </si>
  <si>
    <r>
      <t xml:space="preserve">Computer Systems, Networks, Data Security and Training. </t>
    </r>
    <r>
      <rPr>
        <sz val="16"/>
        <rFont val="Arial"/>
        <family val="2"/>
      </rPr>
      <t>GA requirement</t>
    </r>
  </si>
  <si>
    <r>
      <t xml:space="preserve">Training / Courses for Personnel, </t>
    </r>
    <r>
      <rPr>
        <sz val="16"/>
        <rFont val="Arial"/>
        <family val="2"/>
      </rPr>
      <t>Additional Green Award Requirements &amp; IMO Model Courses</t>
    </r>
    <r>
      <rPr>
        <b/>
        <sz val="14"/>
        <color indexed="52"/>
        <rFont val="Arial"/>
        <family val="2"/>
      </rPr>
      <t/>
    </r>
  </si>
  <si>
    <r>
      <t xml:space="preserve">Familiarisation, </t>
    </r>
    <r>
      <rPr>
        <sz val="16"/>
        <rFont val="Arial"/>
        <family val="2"/>
      </rPr>
      <t xml:space="preserve">Additional Green Award Requirement   </t>
    </r>
  </si>
  <si>
    <t>Is there an appropriate procedure in place for entering the pump room ?</t>
  </si>
  <si>
    <t>Are tasks &amp; responsibilities of shipboard personnel assigned to ballast water exchange operations defined, documented &amp; controlled ?</t>
  </si>
  <si>
    <t>Continuous monitoring of hydrocarbon gases</t>
  </si>
  <si>
    <t>The Total Score Review has been moved to another tab named "Ship - Total Score Review"</t>
  </si>
  <si>
    <t xml:space="preserve">Prevention of Oil Spillage through Cargo Pumproom Sea Valves </t>
  </si>
  <si>
    <t xml:space="preserve">Ballast Water Management </t>
  </si>
  <si>
    <t>6200.5</t>
  </si>
  <si>
    <t>6200.6</t>
  </si>
  <si>
    <t>NAVIGATION / BRIDGE OPERATIONS</t>
  </si>
  <si>
    <t>2100.6</t>
  </si>
  <si>
    <t>2100.7</t>
  </si>
  <si>
    <t>2100.8</t>
  </si>
  <si>
    <t>2100.9</t>
  </si>
  <si>
    <t>Check recent history output</t>
  </si>
  <si>
    <t xml:space="preserve">Vapour return system    </t>
  </si>
  <si>
    <t>8310.1</t>
  </si>
  <si>
    <t>Cargo vapour return system</t>
  </si>
  <si>
    <t>According IMO guidelines</t>
  </si>
  <si>
    <t>Tankers over 10.000 Gt must have fixed tank with sufficient capacity to recharge min. One unit</t>
  </si>
  <si>
    <t>Are all cargo tanks fitted with high and high-high level alarms?</t>
  </si>
  <si>
    <t>4400.3</t>
  </si>
  <si>
    <t>Condition gauge glasses chemical tanks</t>
  </si>
  <si>
    <t>8116.4</t>
  </si>
  <si>
    <t>Are crew members who are involved in helicopter/ship operations trained in standards and procedures?</t>
  </si>
  <si>
    <t>Is a safety meeting, attended by all personnel involved, held prior to entering the space or commencement of hot work in order to review  procedures and PPE (including those specific for the intended work) ?</t>
  </si>
  <si>
    <t>5460</t>
  </si>
  <si>
    <t>Lubrication and Use of Oils (Element nr.: 5810, 5811 &amp; 5812)</t>
  </si>
  <si>
    <t>Stern tube lubrication</t>
  </si>
  <si>
    <t>5810.1</t>
  </si>
  <si>
    <t>5810.3</t>
  </si>
  <si>
    <t>Does the system cover the arrangements needed to ensure that the company, day and night, can be notified if a hazard, accident or emergency involving the ship occurs ?</t>
  </si>
  <si>
    <t>8302.4</t>
  </si>
  <si>
    <t>Are high level alarms and/or (over) flow alarms given on the location where the person in charge of the bunkering or transfer operation will normally be located?</t>
  </si>
  <si>
    <t>5801</t>
  </si>
  <si>
    <t>5801.1</t>
  </si>
  <si>
    <t>5801.2</t>
  </si>
  <si>
    <t>5801.3</t>
  </si>
  <si>
    <t>May indicate problems from underneath, stiffeners or underneath deck-plating</t>
  </si>
  <si>
    <t>8407.2</t>
  </si>
  <si>
    <t>Does ship's personnel receive training/courses which are required in support of the MS?</t>
  </si>
  <si>
    <t>Does the voyage or passage plan include contingency planning?</t>
  </si>
  <si>
    <t>Condition check, deformation, cracks, corrosion, thightness</t>
  </si>
  <si>
    <t>8407.7</t>
  </si>
  <si>
    <r>
      <t>Also for vessels not engaged in regular STS operations in case the ship is ordered to lighter</t>
    </r>
    <r>
      <rPr>
        <sz val="16"/>
        <rFont val="Arial"/>
        <family val="2"/>
      </rPr>
      <t xml:space="preserve"> :  Are company guidelines available to develop (or assess) a STS contingency plan, including all possible risks and actions to be taken to avoid emergencies? (Plan should take the geographical location of the operation, local requirements &amp; support in local area into account. Plan must be agreed between both vessels and local organisers)</t>
    </r>
  </si>
  <si>
    <r>
      <t>Navigation</t>
    </r>
    <r>
      <rPr>
        <sz val="16"/>
        <rFont val="Arial"/>
        <family val="2"/>
      </rPr>
      <t xml:space="preserve">               </t>
    </r>
  </si>
  <si>
    <t>Procedures for emergency change-over visible</t>
  </si>
  <si>
    <t>Clearly visible near controls of steering gear unit</t>
  </si>
  <si>
    <t>Is there an agreed procedure to manage related problem areas? (e.g. spares, maintenance due wear &amp; tear)</t>
  </si>
  <si>
    <t>REPORTS AND ANALYSES OF NON-CONFORMATIES, ACCIDENTS AND  HAZARDOUS  OCCURENCES</t>
  </si>
  <si>
    <t xml:space="preserve">Are adequate back-ups for administrative PC systems made and are procedures for this documented ? </t>
  </si>
  <si>
    <t>Is the internal audit scheme applicable to the IT elements and vessel computer-based systems?</t>
  </si>
  <si>
    <t>Is a system administrator designated onboard for administrative PC systems on the ship?</t>
  </si>
  <si>
    <t>Clearly visible and not obstructed</t>
  </si>
  <si>
    <t>8102.6</t>
  </si>
  <si>
    <t>Check ready for use, last check date</t>
  </si>
  <si>
    <t>8503.6</t>
  </si>
  <si>
    <t>Fireman's outfit</t>
  </si>
  <si>
    <t>Check ready for use, easy accessable</t>
  </si>
  <si>
    <t>8503.7</t>
  </si>
  <si>
    <t>Breathing Apparatus charging compressor</t>
  </si>
  <si>
    <t>8503.8</t>
  </si>
  <si>
    <t>International Ship/Shore Fire connection</t>
  </si>
  <si>
    <t>Check available both sides</t>
  </si>
  <si>
    <t>8503.9</t>
  </si>
  <si>
    <t>Fire alarm system and detectors</t>
  </si>
  <si>
    <t>Check test records, condition in accommodation, ER and boiler room</t>
  </si>
  <si>
    <t>8503.10</t>
  </si>
  <si>
    <t>Door to be kept closed at all times and not lashed or blocked in open position</t>
  </si>
  <si>
    <t>8208.2</t>
  </si>
  <si>
    <r>
      <t>Alternative for 6200.7:</t>
    </r>
    <r>
      <rPr>
        <sz val="17"/>
        <rFont val="Arial"/>
        <family val="2"/>
      </rPr>
      <t xml:space="preserve"> </t>
    </r>
    <r>
      <rPr>
        <sz val="16"/>
        <rFont val="Arial"/>
        <family val="2"/>
      </rPr>
      <t>(for fibre ropes) Are there procedures for care of fibre ropes?</t>
    </r>
  </si>
  <si>
    <t>Manifold spill-tank length extending beyond bunker
connection</t>
  </si>
  <si>
    <t>Adequate supports installed abeam of manifold for 
cargo-hoses</t>
  </si>
  <si>
    <r>
      <t xml:space="preserve">If modifications to fuel system are required, are </t>
    </r>
    <r>
      <rPr>
        <b/>
        <sz val="16"/>
        <rFont val="Arial"/>
        <family val="2"/>
      </rPr>
      <t>updated</t>
    </r>
    <r>
      <rPr>
        <sz val="16"/>
        <rFont val="Arial"/>
        <family val="2"/>
      </rPr>
      <t xml:space="preserve"> detailed fuel system diagrams for fuel change over available?  </t>
    </r>
  </si>
  <si>
    <t>350.2</t>
  </si>
  <si>
    <r>
      <t>Alternative for 4200.1</t>
    </r>
    <r>
      <rPr>
        <b/>
        <sz val="18"/>
        <rFont val="Arial"/>
        <family val="2"/>
      </rPr>
      <t xml:space="preserve">:  (for vessels not engaged in regular STS operations)  </t>
    </r>
    <r>
      <rPr>
        <sz val="16"/>
        <rFont val="Arial"/>
        <family val="2"/>
      </rPr>
      <t xml:space="preserve">
In case the ship is ordered to lighter, are there procedures / guidelines in the SMS to familiarise relevant crew members with the STS safety drill &amp; is there an instruction to carry out the drill not more than 7 days before commencing operations?</t>
    </r>
  </si>
  <si>
    <t>Are ship inspections held at defined intervals? (minimum of twice a year or equivalent)</t>
  </si>
  <si>
    <t>Condition gauge glasses fuel tanks</t>
  </si>
  <si>
    <t xml:space="preserve">Ventilation   </t>
  </si>
  <si>
    <t>8117.1</t>
  </si>
  <si>
    <t>Fire flaps  in trunks engine room</t>
  </si>
  <si>
    <t>Check markers open/close and proper working</t>
  </si>
  <si>
    <t>8117.2</t>
  </si>
  <si>
    <t>Is a register of cargo handling gear and lifting appliances issued? (CG1)</t>
  </si>
  <si>
    <t>6500.2</t>
  </si>
  <si>
    <t>Does the vessel have a hull stress monitoring system which provide real-time information with readouts both in the CCR and on the bridge?</t>
  </si>
  <si>
    <t>Are arrangements for vessel systems documented ? (configuration scheme)</t>
  </si>
  <si>
    <t>Corrosion and / or corrosion pattern of structural design</t>
  </si>
  <si>
    <t>8404.3</t>
  </si>
  <si>
    <t xml:space="preserve">Engine Room     </t>
  </si>
  <si>
    <t>8504.3</t>
  </si>
  <si>
    <t>Emergency lighting</t>
  </si>
  <si>
    <t xml:space="preserve">Oil Spill Response Equipment    </t>
  </si>
  <si>
    <t>8409.1</t>
  </si>
  <si>
    <t>Condition check, deformation, cracks, corrosion</t>
  </si>
  <si>
    <t>8409.2</t>
  </si>
  <si>
    <t>Sea-inlet boxes</t>
  </si>
  <si>
    <t>8409.3</t>
  </si>
  <si>
    <t>Pipelines, valves, couplings, overboard connection</t>
  </si>
  <si>
    <t>Cargo pumps with temperature sensors readout CCR</t>
  </si>
  <si>
    <t>6300.6</t>
  </si>
  <si>
    <t>6300.7</t>
  </si>
  <si>
    <t>Is the coating approved according to the IMO performance standard? (type approval or statement of compliance according to Res. MSC 215(82) in Coating Technical File)</t>
  </si>
  <si>
    <t>Is it company procedure that the ship shore safety checklist has to be used before loading/unloading operations?</t>
  </si>
  <si>
    <t>Is a plan for the intended cargo operations available?</t>
  </si>
  <si>
    <t>Is an overview available with all details of mooring wires / fibre ropes, winches, inspections, 
maintenance, tests etc.?</t>
  </si>
  <si>
    <t>Is it company policy that maintenance meetings are carried out on board? 
(e.g. each month and at (all) sections on board)</t>
  </si>
  <si>
    <t>6300.1</t>
  </si>
  <si>
    <t>Ventilation - pipes / ducts</t>
  </si>
  <si>
    <t>Condition check of covers, closing devices, flame screens, floating locks</t>
  </si>
  <si>
    <t>8407.8</t>
  </si>
  <si>
    <t>Does an additional examination take place after unusual events, such as long periods of inactivity, excessive loads, heat exposure, loading/discharge at swell ports, etc?</t>
  </si>
  <si>
    <t xml:space="preserve">GA Code: </t>
  </si>
  <si>
    <t>Are there procedures to ensure that a sufficient number of personnel is available in case of 
emergency during port stay?</t>
  </si>
  <si>
    <t xml:space="preserve">                    </t>
  </si>
  <si>
    <t>Doc. &amp; Impl.</t>
  </si>
  <si>
    <t xml:space="preserve">RANKING SCORE </t>
  </si>
  <si>
    <t>RANKING MAX. SCORE</t>
  </si>
  <si>
    <t>8407.24</t>
  </si>
  <si>
    <t>Arrangements for continuous draining of rain water</t>
  </si>
  <si>
    <t>8407.25</t>
  </si>
  <si>
    <t>7300.5</t>
  </si>
  <si>
    <t>Fixed storage tank installed</t>
  </si>
  <si>
    <t>Check corrosion, working conditions and leakages</t>
  </si>
  <si>
    <t>8409.4</t>
  </si>
  <si>
    <t>Corrosion protection system</t>
  </si>
  <si>
    <t>Condition of coating and / or sacrificial anodes</t>
  </si>
  <si>
    <t>8404.4</t>
  </si>
  <si>
    <t>Check for obstructions or other objects</t>
  </si>
  <si>
    <t>SHIP'S RANKING SCORE</t>
  </si>
  <si>
    <t>Check available and clearly visible</t>
  </si>
  <si>
    <t xml:space="preserve">Rescue equipment      </t>
  </si>
  <si>
    <t>8502.1</t>
  </si>
  <si>
    <t>Continuous deckedge fishplate height / deck scupper closing devices</t>
  </si>
  <si>
    <t>8407.22</t>
  </si>
  <si>
    <t>Emergency pump fixed or portable</t>
  </si>
  <si>
    <t>8407.23</t>
  </si>
  <si>
    <t>6110.7</t>
  </si>
  <si>
    <t>2100.13</t>
  </si>
  <si>
    <t>Does the company distribute relevant cargo instructions to the vessel? 
(e.g.  is ship compatible for intended cargo?)</t>
  </si>
  <si>
    <t xml:space="preserve">Are crew members assigned to deck duty during COW operations given familiarisation and instructions according to Res A 446 (XI) as amended Chapter 7 ? </t>
  </si>
  <si>
    <t>Inspection guidelines</t>
  </si>
  <si>
    <t>8105.2</t>
  </si>
  <si>
    <t>Condition of burner front</t>
  </si>
  <si>
    <t>Oil leakage, and air leakage</t>
  </si>
  <si>
    <t>8105.3</t>
  </si>
  <si>
    <t>Lagging / isolation of fuel and steam lines</t>
  </si>
  <si>
    <t xml:space="preserve">Fire flaps </t>
  </si>
  <si>
    <t>RESOURCES AND PERSONNEL AND STCW</t>
  </si>
  <si>
    <t>Pipelines and valves</t>
  </si>
  <si>
    <t>COMPANY RESPONSIBILITIES AND AUTHORITY</t>
  </si>
  <si>
    <t>217.1</t>
  </si>
  <si>
    <t>217.3</t>
  </si>
  <si>
    <t>217.5</t>
  </si>
  <si>
    <t>217.7</t>
  </si>
  <si>
    <t>217.9</t>
  </si>
  <si>
    <t>217</t>
  </si>
  <si>
    <t>1200.6</t>
  </si>
  <si>
    <t>1200.8</t>
  </si>
  <si>
    <t>1200.9</t>
  </si>
  <si>
    <t>1600.7</t>
  </si>
  <si>
    <t>1600.8</t>
  </si>
  <si>
    <t>3100.5</t>
  </si>
  <si>
    <t>5700.5</t>
  </si>
  <si>
    <t>5700.6</t>
  </si>
  <si>
    <t>5900.13</t>
  </si>
  <si>
    <t>7300.6</t>
  </si>
  <si>
    <t>7300.7</t>
  </si>
  <si>
    <t>Deformations, cracks, leakages of bulkheads, stringers, webs, girders</t>
  </si>
  <si>
    <t>8404.2</t>
  </si>
  <si>
    <t>Corrosion condition</t>
  </si>
  <si>
    <t>Condition seals Cargo/Ballast pumps / pump room</t>
  </si>
  <si>
    <t>Check for leakage</t>
  </si>
  <si>
    <t>Vessels &gt; 10.000 GT should have railings around the steering gear and deck non-slip surface</t>
  </si>
  <si>
    <t>8208.4</t>
  </si>
  <si>
    <t>Cargo / Ballast System</t>
  </si>
  <si>
    <t xml:space="preserve">Drawings / Diagrams in Cargo Control Room  </t>
  </si>
  <si>
    <t>8301.1</t>
  </si>
  <si>
    <t>8302.5</t>
  </si>
  <si>
    <t>Cargo pumps fitted with temperature trips</t>
  </si>
  <si>
    <t>8302.6</t>
  </si>
  <si>
    <t>General waste stored &amp; handled properly</t>
  </si>
  <si>
    <t>8102.5</t>
  </si>
  <si>
    <t>Indication of E.R. emergency escapes</t>
  </si>
  <si>
    <t>Scoring (%)</t>
  </si>
  <si>
    <t>Is the ship provided with information on the design of the mooring system? (with examples to show the loads likely to be experienced under particular conditions and to illustrate those situations under which the limit of the system is likely to be reached)</t>
  </si>
  <si>
    <t>Is the Master fully conversant with the Company's Management Systems?</t>
  </si>
  <si>
    <t>6100</t>
  </si>
  <si>
    <t>1200.3</t>
  </si>
  <si>
    <t>1200.4</t>
  </si>
  <si>
    <t>1300.1</t>
  </si>
  <si>
    <t>1400.1</t>
  </si>
  <si>
    <t>1400.2</t>
  </si>
  <si>
    <t xml:space="preserve">Cargo Control Room Communications      </t>
  </si>
  <si>
    <t>8306.1</t>
  </si>
  <si>
    <t>Communication between Cargo Control Room / Pump Room / Cargo Pump Turbines ( E.R. side )</t>
  </si>
  <si>
    <t>Check test dates</t>
  </si>
  <si>
    <t>8307.3</t>
  </si>
  <si>
    <t>Are winch brake tests carried out and recorded at least once a year or after an excessive load?</t>
  </si>
  <si>
    <t>Is a certificate of test and thorough examination of wire rope issued? (CG4)</t>
  </si>
  <si>
    <t>Is a vapour emission control plant on board?</t>
  </si>
  <si>
    <t xml:space="preserve">Fire fighting  </t>
  </si>
  <si>
    <t>Are ballast tanks of double-hulled vessel, coated with a hard coating of a light colour?</t>
  </si>
  <si>
    <r>
      <t>Alternative to 6300.1</t>
    </r>
    <r>
      <rPr>
        <sz val="16"/>
        <rFont val="Arial"/>
        <family val="2"/>
      </rPr>
      <t xml:space="preserve"> Are ballast tanks coated with dark epoxy maintained with a modified epoxy coating of a light colour, after safety benefit assessment is carried out?</t>
    </r>
  </si>
  <si>
    <t>Are manufacturer’s technical product data sheets and job specifications of the coatings on board?</t>
  </si>
  <si>
    <t>Is a risk assessment carried out for the operation of ECDIS which identifies and controls the hazards when using ENCs and (if used) when ECDIS is in RCDS mode?</t>
  </si>
  <si>
    <t>Regular tests conducted</t>
  </si>
  <si>
    <t>8303.5</t>
  </si>
  <si>
    <t>Tests recorded</t>
  </si>
  <si>
    <t xml:space="preserve">Gauges and Tachometers    </t>
  </si>
  <si>
    <t>8304.1</t>
  </si>
  <si>
    <t>5821.15</t>
  </si>
  <si>
    <t>Is the authority for operating and maintaining the Oily Water Separator and Oil Content Meter with the master or this is automatically logged in the system?</t>
  </si>
  <si>
    <t>Is all the bilge water from machinery spaces always delivered to reception facilities?</t>
  </si>
  <si>
    <t>Is a sludge collecting pump installed (with the sole purpose of collecting the sludge from different ER tanks to the Oil Residue (Sludge) Tank)?</t>
  </si>
  <si>
    <t>Is a sludge discharge pump installed with the purpose of discharging the sludge to reception facilities (with sufficient capacity to discharge the sludge within 8 hrs)</t>
  </si>
  <si>
    <t>5822.8</t>
  </si>
  <si>
    <t>Is a tank or system installed with the sole purpose of removing large quantities of water from the sludge?</t>
  </si>
  <si>
    <t>5822.9</t>
  </si>
  <si>
    <t xml:space="preserve">Is a separate tank or system installed with the sole purpose of evaporating water from the sludge? </t>
  </si>
  <si>
    <t>5822.10</t>
  </si>
  <si>
    <t>Is a separate tank or system installed with the purpose of mixing the sludge while incinerated (in incinerator or boiler)</t>
  </si>
  <si>
    <t>Sufficient signboards available</t>
  </si>
  <si>
    <t>8109.3</t>
  </si>
  <si>
    <t>Storage of chemicals according safety rules</t>
  </si>
  <si>
    <t>Do these criteria take manufacturer’s recommendations into account ?</t>
  </si>
  <si>
    <t>109.1</t>
  </si>
  <si>
    <t>Are safety and environmental inspections carried out, documented and reported?</t>
  </si>
  <si>
    <t>109.2</t>
  </si>
  <si>
    <t>RR</t>
  </si>
  <si>
    <t>Accomodation &amp; Machinery Spaces</t>
  </si>
  <si>
    <t>8410.1</t>
  </si>
  <si>
    <t>General condition, damages &amp; defects</t>
  </si>
  <si>
    <t>8410.2</t>
  </si>
  <si>
    <t>Tank entrances and deck openings</t>
  </si>
  <si>
    <t>5812.1</t>
  </si>
  <si>
    <t>5812.2</t>
  </si>
  <si>
    <t>5812.3</t>
  </si>
  <si>
    <t>5900.10</t>
  </si>
  <si>
    <t>6200.10</t>
  </si>
  <si>
    <t>1200.10</t>
  </si>
  <si>
    <t>3200.11</t>
  </si>
  <si>
    <t>5200.11</t>
  </si>
  <si>
    <t>5200.4</t>
  </si>
  <si>
    <t>6100.2</t>
  </si>
  <si>
    <t>5821.10</t>
  </si>
  <si>
    <t>Is washwater from the economizer/boilers collected in a Soot separation / collection tank?</t>
  </si>
  <si>
    <t>5821.11</t>
  </si>
  <si>
    <t>Are management instructions regarding disposal of soot and soot-water mixtures available onboard?</t>
  </si>
  <si>
    <t>5821.12</t>
  </si>
  <si>
    <t>Is all Oily bilge water from the bilge wells/drains transferred to the Bilge Primary Tank or pre-separation system for pre-separation of oil and water?</t>
  </si>
  <si>
    <t xml:space="preserve">Emergency towing system    </t>
  </si>
  <si>
    <t>Norm item</t>
  </si>
  <si>
    <t>MASTER</t>
  </si>
  <si>
    <t>CHIEF OFFICER</t>
  </si>
  <si>
    <t>DECK OFFICER</t>
  </si>
  <si>
    <t>Compass clearly visible from control-station</t>
  </si>
  <si>
    <t xml:space="preserve">Bridge Communications       </t>
  </si>
  <si>
    <t>8207.1</t>
  </si>
  <si>
    <t>Satisfactory communications with bridge</t>
  </si>
  <si>
    <t>Is a STS safety drill carried out not more than seven days preceding a STS transfer operation?</t>
  </si>
  <si>
    <t>106.6</t>
  </si>
  <si>
    <t xml:space="preserve">Check proper working </t>
  </si>
  <si>
    <t>Pump controls functioning</t>
  </si>
  <si>
    <t xml:space="preserve">Reports    </t>
  </si>
  <si>
    <t>8402.1</t>
  </si>
  <si>
    <t>111.1</t>
  </si>
  <si>
    <t>111.2</t>
  </si>
  <si>
    <t>5822.6</t>
  </si>
  <si>
    <t>Programme of Inspections</t>
  </si>
  <si>
    <t>6110</t>
  </si>
  <si>
    <t>Critical and Stand-by Equipment</t>
  </si>
  <si>
    <t>6110.8</t>
  </si>
  <si>
    <t>7500.2</t>
  </si>
  <si>
    <r>
      <t xml:space="preserve">Alternative for 5600.3 </t>
    </r>
    <r>
      <rPr>
        <b/>
        <sz val="16"/>
        <rFont val="Arial"/>
        <family val="2"/>
      </rPr>
      <t xml:space="preserve"> :</t>
    </r>
    <r>
      <rPr>
        <sz val="16"/>
        <rFont val="Arial"/>
        <family val="2"/>
      </rPr>
      <t xml:space="preserve">  Is the vessel equipped with deepwell pumps?</t>
    </r>
  </si>
  <si>
    <t>Manifold spill-tank well maintained</t>
  </si>
  <si>
    <t>8407.21</t>
  </si>
  <si>
    <t>Cargo pumps with sensors for vibration monitoring bearings</t>
  </si>
  <si>
    <t>8302.7</t>
  </si>
  <si>
    <t>Is all equipment combined working</t>
  </si>
  <si>
    <t>Malfunctioning often indicator</t>
  </si>
  <si>
    <t>Emergency stops of fans</t>
  </si>
  <si>
    <t xml:space="preserve">Quick Closing Valves     </t>
  </si>
  <si>
    <t>8115.1</t>
  </si>
  <si>
    <t>Is there documented instruction for operational use of the installed system(s)?</t>
  </si>
  <si>
    <t>4200.1</t>
  </si>
  <si>
    <t>4200.2</t>
  </si>
  <si>
    <t>4200.3</t>
  </si>
  <si>
    <t>4300.1</t>
  </si>
  <si>
    <t>216.1</t>
  </si>
  <si>
    <t>216.2</t>
  </si>
  <si>
    <t>Condition check CO2, Halon system, extinguishers, fire hoses, alarms etc.</t>
  </si>
  <si>
    <t>Does sediment disposal take place in port (to sediment reception facility) or at sea (more than 200nm from land and at depth greater than 200m) ?</t>
  </si>
  <si>
    <t>According makers safety instructions</t>
  </si>
  <si>
    <t xml:space="preserve">Electrical      </t>
  </si>
  <si>
    <t>8110.1</t>
  </si>
  <si>
    <t>5421.1</t>
  </si>
  <si>
    <t>5421.2</t>
  </si>
  <si>
    <t>Gauge Glasses     Class</t>
  </si>
  <si>
    <t>8116.1</t>
  </si>
  <si>
    <t>Are vapour connection lines arranged with drains and can they be blinded off from the IG line ?</t>
  </si>
  <si>
    <t>Suction and discharge pressure meters</t>
  </si>
  <si>
    <t>Check for good working</t>
  </si>
  <si>
    <t>8307.2</t>
  </si>
  <si>
    <t>Condition emergency pumps / controls,  access facilities</t>
  </si>
  <si>
    <t xml:space="preserve">Main Deck &amp; Fittings     </t>
  </si>
  <si>
    <t>8407.1</t>
  </si>
  <si>
    <t>Emergency stop at cargo manifold</t>
  </si>
  <si>
    <t>8407.12</t>
  </si>
  <si>
    <t>Mooring Equipment</t>
  </si>
  <si>
    <t>Are tasks, qualifications and responsibilities defined in the manuals and in the job descriptions?</t>
  </si>
  <si>
    <t>Are non-conformities reported including their possible cause?</t>
  </si>
  <si>
    <t>Check Oil Record Book - Machinery Space Operations</t>
  </si>
  <si>
    <t>8106.5</t>
  </si>
  <si>
    <t>Bilge alarms</t>
  </si>
  <si>
    <t>APPENDIX 5</t>
  </si>
  <si>
    <t>(OMC-10)</t>
  </si>
  <si>
    <t>Company Reports</t>
  </si>
  <si>
    <t>MAINTENANCE OF THE SHIP AND EQUIPMENT</t>
  </si>
  <si>
    <t>DOCUMENTATION</t>
  </si>
  <si>
    <t>COMPANY VERIFICATION, REVIEW AND EVALUATION</t>
  </si>
  <si>
    <t>IMO ELEMENTS</t>
  </si>
  <si>
    <t>110.2</t>
  </si>
  <si>
    <t>110.3</t>
  </si>
  <si>
    <t>Is appropriate corrective action taken?</t>
  </si>
  <si>
    <t>110.4</t>
  </si>
  <si>
    <t>Are records of these activities maintained?</t>
  </si>
  <si>
    <t>110.5</t>
  </si>
  <si>
    <t>110.6</t>
  </si>
  <si>
    <t>Thermometers of bearings / pump casing</t>
  </si>
  <si>
    <t>8307.4</t>
  </si>
  <si>
    <t>Check for high level and high-high level</t>
  </si>
  <si>
    <t xml:space="preserve">Electrical Equipment   </t>
  </si>
  <si>
    <t>8308.1</t>
  </si>
  <si>
    <t>Equipment installed explosion-proof</t>
  </si>
  <si>
    <t>Light,control equipment, switches etc.</t>
  </si>
  <si>
    <t>8308.2</t>
  </si>
  <si>
    <t>Workshop</t>
  </si>
  <si>
    <t>Does the company have a procedure for the Master to ensure that assigned sea staff are in possession of necessary certificates when joining the vessel?</t>
  </si>
  <si>
    <t>Condition of gauge glasses closing valves</t>
  </si>
  <si>
    <t>Are ship-critical equipment and technical systems identified?</t>
  </si>
  <si>
    <t>Is the measuring system for cargo, bunker and ballast tanks on line with the loadicator?</t>
  </si>
  <si>
    <t>Ventilation system</t>
  </si>
  <si>
    <t>4100.6</t>
  </si>
  <si>
    <t>Steering gear room should be uncluttered with easy access to all components of the system</t>
  </si>
  <si>
    <t>8208.3</t>
  </si>
  <si>
    <t>Safety and protection measures fitted</t>
  </si>
  <si>
    <t xml:space="preserve">Sewage Plant    </t>
  </si>
  <si>
    <t>8112.1</t>
  </si>
  <si>
    <t>Sewage Plant fully operational</t>
  </si>
  <si>
    <t>Alarms, level switches etc.</t>
  </si>
  <si>
    <t>8112.2</t>
  </si>
  <si>
    <t>Position of valves correct</t>
  </si>
  <si>
    <t>6110.5</t>
  </si>
  <si>
    <t>8305.1</t>
  </si>
  <si>
    <t>Condition seals Cargo/Ballast pumps pumproom/ E.R.</t>
  </si>
  <si>
    <t>Check deck penetration, oil level in deck seals</t>
  </si>
  <si>
    <t>8305.2</t>
  </si>
  <si>
    <t>Ships required to carry out Fuel Change Over to low sulphur Marine Diesel Oil or low sulphur Marine Gas Oil  (low sulphur Distillates)</t>
  </si>
  <si>
    <t>Does the company give procedures/instructions in relation to the entire cargo operations?</t>
  </si>
  <si>
    <t>4400.14</t>
  </si>
  <si>
    <t xml:space="preserve">Functioning Pump Controls/Turbine Controls     </t>
  </si>
  <si>
    <t>8303.1</t>
  </si>
  <si>
    <t>Is washwater delivered to reception facilities prior to the vessel going to dry-dock?</t>
  </si>
  <si>
    <t>Hose handling, stores handling</t>
  </si>
  <si>
    <t>Check certificates and working order</t>
  </si>
  <si>
    <t>8407.26</t>
  </si>
  <si>
    <t>8105.1</t>
  </si>
  <si>
    <t>Indicates that the whole element did not reach the minimum score, hence a finding is issued. The number shows the scores obtained.</t>
  </si>
  <si>
    <t>Check operational condition / calibration</t>
  </si>
  <si>
    <t>8309.2</t>
  </si>
  <si>
    <t>Recorder</t>
  </si>
  <si>
    <t>5200</t>
  </si>
  <si>
    <t>5200.9</t>
  </si>
  <si>
    <t>5600.3</t>
  </si>
  <si>
    <t>5610.1</t>
  </si>
  <si>
    <t>5700.7</t>
  </si>
  <si>
    <t>5700.8</t>
  </si>
  <si>
    <t>6400.2</t>
  </si>
  <si>
    <t>Condition of expansion bellows</t>
  </si>
  <si>
    <t xml:space="preserve">Auxiliary Engines        </t>
  </si>
  <si>
    <t>8104.1</t>
  </si>
  <si>
    <t>8102.1</t>
  </si>
  <si>
    <t>Overall tidyness of E.R. space</t>
  </si>
  <si>
    <t>5300.6</t>
  </si>
  <si>
    <t>5300.7</t>
  </si>
  <si>
    <t>Condition of closing valves E.R.</t>
  </si>
  <si>
    <t>Is the shipboard oil pollution emergency plan maintained and updated?</t>
  </si>
  <si>
    <r>
      <t xml:space="preserve">Has the company carried out a </t>
    </r>
    <r>
      <rPr>
        <b/>
        <sz val="16"/>
        <rFont val="Arial"/>
        <family val="2"/>
      </rPr>
      <t xml:space="preserve">safety assessment </t>
    </r>
    <r>
      <rPr>
        <sz val="16"/>
        <rFont val="Arial"/>
        <family val="2"/>
      </rPr>
      <t xml:space="preserve">with respective manufacturers, for any necessary modifications to the vessel's boilers &amp; each fuel system onboard? (modifications should be class approved) </t>
    </r>
  </si>
  <si>
    <t>* for detailed interpretations of the colours and the usage of the checklist, please refer to the pdf-file named "Instruction Notes" located on www.greenaward.org under "Certification/ Download".</t>
  </si>
  <si>
    <t>Is there an instruction that all persons involved are to be familiar with the intended bunker operation and/or internal transfer operation and their duties?</t>
  </si>
  <si>
    <t>Is the supplementary folio of paper charts acceptable for that part of the voyage where official 
RNCs are used ?</t>
  </si>
  <si>
    <t>Doors, windows, ventilation ducts, closing devices</t>
  </si>
  <si>
    <t>Condition check and water tightness</t>
  </si>
  <si>
    <t>Is the ship's crew familiarised in general with the principles of the ISPS Code  (ship related) ?</t>
  </si>
  <si>
    <t>Leakage / condition of lagging, black spots and stripes / loose lagging</t>
  </si>
  <si>
    <t>8103.2</t>
  </si>
  <si>
    <t>Fuel lines H.P. &amp; L.P.</t>
  </si>
  <si>
    <r>
      <t xml:space="preserve">Are </t>
    </r>
    <r>
      <rPr>
        <b/>
        <sz val="16"/>
        <rFont val="Arial"/>
        <family val="2"/>
      </rPr>
      <t xml:space="preserve">updated </t>
    </r>
    <r>
      <rPr>
        <sz val="16"/>
        <rFont val="Arial"/>
        <family val="2"/>
      </rPr>
      <t xml:space="preserve">fuel change over procedures (company-approved) available for the main engine, auxiliary engines &amp; boilers?  (procedures should be available for each fuel type used onboard) </t>
    </r>
  </si>
  <si>
    <t>Min = Max</t>
  </si>
  <si>
    <t>Survey reports with recommendations and conditions of class, repairs</t>
  </si>
  <si>
    <t>8101.2</t>
  </si>
  <si>
    <t>State Authority reports</t>
  </si>
  <si>
    <t>Survey reports, recommendations</t>
  </si>
  <si>
    <t>Check condition and working order</t>
  </si>
  <si>
    <t>8502.6</t>
  </si>
  <si>
    <t>Life jackets</t>
  </si>
  <si>
    <t>Are inspection, maintenance and discard criteria for mooring wires and tails / fibre ropes established and carried out by a competent person? (time interval for inspection should be in the PMS)</t>
  </si>
  <si>
    <t>8404.1</t>
  </si>
  <si>
    <t>Structural integrity</t>
  </si>
  <si>
    <t>Are sediment volumes monitored &amp; recorded ?</t>
  </si>
  <si>
    <t>108.5</t>
  </si>
  <si>
    <t>5300.1</t>
  </si>
  <si>
    <t>Presence of oil, water, corrosion and / or dirt</t>
  </si>
  <si>
    <t>8106.2</t>
  </si>
  <si>
    <t>Bilge separator, position of all valves</t>
  </si>
  <si>
    <t>8106.3</t>
  </si>
  <si>
    <t>In port overboard valve sealed</t>
  </si>
  <si>
    <t>8106.4</t>
  </si>
  <si>
    <t>Condition and record regarding oily-bilge separator</t>
  </si>
  <si>
    <t>Steam or Thermal oil</t>
  </si>
  <si>
    <t xml:space="preserve">Check condition / last time tested </t>
  </si>
  <si>
    <t>8106.7</t>
  </si>
  <si>
    <t>Double bottom sounding pipes</t>
  </si>
  <si>
    <t>Check functioning self closing valves</t>
  </si>
  <si>
    <t xml:space="preserve">Piping Systems     </t>
  </si>
  <si>
    <t>8107.1</t>
  </si>
  <si>
    <t>General condition</t>
  </si>
  <si>
    <t xml:space="preserve">Fire Pumps      </t>
  </si>
  <si>
    <t>Are crew familiarised with updated fuel change over procedures?</t>
  </si>
  <si>
    <t>Classification reports</t>
  </si>
  <si>
    <t>Is the curved plate extending beyond vapour connection at fore- and aft side of manifold?</t>
  </si>
  <si>
    <t>6200.1</t>
  </si>
  <si>
    <t>6200.2</t>
  </si>
  <si>
    <t>Are cargo pipes internally coated?</t>
  </si>
  <si>
    <t>4400.12</t>
  </si>
  <si>
    <t>4400.13</t>
  </si>
  <si>
    <t>4500.1</t>
  </si>
  <si>
    <t>Miscellaneous equipment</t>
  </si>
  <si>
    <t>N</t>
  </si>
  <si>
    <t>Are results of the audits and reviews brought to the attention of all shipboard personnel having responsibility in the area involved?</t>
  </si>
  <si>
    <t>213.1</t>
  </si>
  <si>
    <t>Check certificates, reports and safety drills</t>
  </si>
  <si>
    <t>8501.2</t>
  </si>
  <si>
    <t>Signs posted with instructions for emergency change-over</t>
  </si>
  <si>
    <t>8203.2</t>
  </si>
  <si>
    <t>Vetting reports by chartering companies and independent surveyors</t>
  </si>
  <si>
    <t>Are instructions, which are essential prior to sailing, identified, documented and given to the new personnel?</t>
  </si>
  <si>
    <t>Check Box</t>
  </si>
  <si>
    <t>Inspection Focus</t>
  </si>
  <si>
    <t>Remarks</t>
  </si>
  <si>
    <t>Machinery</t>
  </si>
  <si>
    <t>Reports</t>
  </si>
  <si>
    <t>8101.1</t>
  </si>
  <si>
    <t>Check for leakage and / or temporary repairs</t>
  </si>
  <si>
    <t>8107.2</t>
  </si>
  <si>
    <t>Condition of piping supports</t>
  </si>
  <si>
    <t>Check for corroded, broken and / or missing supports</t>
  </si>
  <si>
    <t>General Service Air Systems</t>
  </si>
  <si>
    <t>8108.1</t>
  </si>
  <si>
    <t>Condition of air and oil drains</t>
  </si>
  <si>
    <t>Check good working</t>
  </si>
  <si>
    <t>8108.2</t>
  </si>
  <si>
    <t>Condition of pipe lines</t>
  </si>
  <si>
    <t>8108.3</t>
  </si>
  <si>
    <t>5811.1</t>
  </si>
  <si>
    <t>ENGINEER OFFICER</t>
  </si>
  <si>
    <t>ENGINEER RATING</t>
  </si>
  <si>
    <r>
      <t xml:space="preserve">TOTAL SCORE REVIEW                                                                                                             </t>
    </r>
    <r>
      <rPr>
        <b/>
        <sz val="26"/>
        <rFont val="Arial"/>
        <family val="2"/>
      </rPr>
      <t xml:space="preserve"> SHIP SURVEY - OILTANKER</t>
    </r>
  </si>
  <si>
    <t>Are actions and responsibilities of the shipboard personnel clearly described in the SOPEP ?</t>
  </si>
  <si>
    <t>Deck plating - Damages</t>
  </si>
  <si>
    <t>400.2</t>
  </si>
  <si>
    <t>Have the Master, CO, CE, + 2nd Engineer completed an approved advanced training for oil tanker cargo operations? (As a minimum, the program should comply with STCW 2010 including Manila amendments Reg V/1-1)</t>
  </si>
  <si>
    <t xml:space="preserve">Boilers    </t>
  </si>
  <si>
    <t>Deck plating - Corrosion</t>
  </si>
  <si>
    <t>Is a certificate of test and thorough examination of loose gear issued? (CG3)</t>
  </si>
  <si>
    <t>6500.4</t>
  </si>
  <si>
    <t>Are obsolete documents promptly removed ?</t>
  </si>
  <si>
    <t>Check for indents, cracks, corrosion, pitting, paint-condition, local rust and / or cargo stripes</t>
  </si>
  <si>
    <t>8103.7</t>
  </si>
  <si>
    <t>Lub. Oil system</t>
  </si>
  <si>
    <t>Filters and safealls, purifiers condition</t>
  </si>
  <si>
    <t xml:space="preserve">Oil Discharge Monitoring Equipment   </t>
  </si>
  <si>
    <t>8309.1</t>
  </si>
  <si>
    <t>Oil discharge monitor</t>
  </si>
  <si>
    <t xml:space="preserve">NOT APPLICABLE </t>
  </si>
  <si>
    <t>Pressure gauges / indicators on bottles / pipelines / nozzles</t>
  </si>
  <si>
    <t>8503.2</t>
  </si>
  <si>
    <t>Foamtank</t>
  </si>
  <si>
    <t>Content / Filling</t>
  </si>
  <si>
    <t>8503.3</t>
  </si>
  <si>
    <t>Foam monitors on deck</t>
  </si>
  <si>
    <t>8503.4</t>
  </si>
  <si>
    <t>Emergency Bilge Suction valve</t>
  </si>
  <si>
    <t>If substantial indicate pattern, density and locations</t>
  </si>
  <si>
    <t>8407.5</t>
  </si>
  <si>
    <t>Condition fans, trunking and closing devices</t>
  </si>
  <si>
    <t>Inspection, repair, maintenance, planning, dry-dock reports by ship's staff and superintendents</t>
  </si>
  <si>
    <t>8101.4</t>
  </si>
  <si>
    <t>Is the responsibility of the master clearly defined and documented?</t>
  </si>
  <si>
    <t>105.2</t>
  </si>
  <si>
    <t>Does the master implement the Company's safety and environmental-protection policy on board?</t>
  </si>
  <si>
    <t>Check if the by-pass valves are closed</t>
  </si>
  <si>
    <t>109.3</t>
  </si>
  <si>
    <t>LEGEND</t>
  </si>
  <si>
    <t>Score</t>
  </si>
  <si>
    <t>Indicates which crew/employee may be interviewed/questioned.</t>
  </si>
  <si>
    <t>Shows that a certain item is complied.</t>
  </si>
  <si>
    <r>
      <t xml:space="preserve">Shows that a certain item is </t>
    </r>
    <r>
      <rPr>
        <i/>
        <sz val="16"/>
        <rFont val="Arial"/>
        <family val="2"/>
      </rPr>
      <t>not</t>
    </r>
    <r>
      <rPr>
        <sz val="16"/>
        <rFont val="Arial"/>
        <family val="2"/>
      </rPr>
      <t xml:space="preserve"> complied.</t>
    </r>
  </si>
  <si>
    <t>Indicates that an alternative is used, hence the score for that item is a "0".</t>
  </si>
  <si>
    <t>The checklist was filled in incorrectly, thus shows "error".</t>
  </si>
  <si>
    <t>Shows which elements are minimum = maximum. Hence scores on all items is required to fully comply.</t>
  </si>
  <si>
    <t>Min = Max elements</t>
  </si>
  <si>
    <t>Complied?</t>
  </si>
  <si>
    <t>111.4</t>
  </si>
  <si>
    <t>112.1</t>
  </si>
  <si>
    <t>112.4</t>
  </si>
  <si>
    <t>MINIMUM RANKING SCORE REQUIRED</t>
  </si>
  <si>
    <t>211.1</t>
  </si>
  <si>
    <t>301.1</t>
  </si>
  <si>
    <t xml:space="preserve">Compass      </t>
  </si>
  <si>
    <t>8206.1</t>
  </si>
  <si>
    <t>Sufficient tank-openings for portable COW to reach all shadow areas</t>
  </si>
  <si>
    <t>In accordance with shadow diagram class</t>
  </si>
  <si>
    <t>8407.27</t>
  </si>
  <si>
    <t>Safe access to bow and main deck railing</t>
  </si>
  <si>
    <t>Check condition and compliance new rules</t>
  </si>
  <si>
    <t>8407.28</t>
  </si>
  <si>
    <t>Fitting of cargo hose rail</t>
  </si>
  <si>
    <t>8407.29</t>
  </si>
  <si>
    <t>Bunker and oil tank derating pipes</t>
  </si>
  <si>
    <t>Check flame screens and coamings</t>
  </si>
  <si>
    <t xml:space="preserve">Pump Room            </t>
  </si>
  <si>
    <t>8104.2</t>
  </si>
  <si>
    <t>104.2</t>
  </si>
  <si>
    <t>Is (are) (a) designated person(s) known on board?</t>
  </si>
  <si>
    <t>Foundation bolts firm, casing crack-, corrosion-free, no leakages and save-all</t>
  </si>
  <si>
    <t>Save-alls</t>
  </si>
  <si>
    <t>Boiler bilge / Save-all</t>
  </si>
  <si>
    <t>Cleanliness of bilges on every platform</t>
  </si>
  <si>
    <t>Operating instructions of firepump and drive-unit</t>
  </si>
  <si>
    <t>Clear instruction board available</t>
  </si>
  <si>
    <t xml:space="preserve">Emergency Electrical Stops    </t>
  </si>
  <si>
    <t>8102.7</t>
  </si>
  <si>
    <t>Does the vessel use grease that is certified according to the EEL (all deck equipment)?</t>
  </si>
  <si>
    <r>
      <t xml:space="preserve">Compressor for the refilling of air cylinders for breathing apparatus or Alternative, </t>
    </r>
    <r>
      <rPr>
        <sz val="16"/>
        <rFont val="Arial"/>
        <family val="2"/>
      </rPr>
      <t>Additional Green Award requirement</t>
    </r>
  </si>
  <si>
    <t>Dropvalves from spill-tanks to sloptanks on deck</t>
  </si>
  <si>
    <t>Additional Green Award Requirements (tank alarms, coatings, etc.)</t>
  </si>
  <si>
    <t>Is the risk assessment and relevant onboard procedures + instructions reviewed on a regular basis (at least once a year or if circumstances require a review) ?</t>
  </si>
  <si>
    <t xml:space="preserve">Main Propulsion        </t>
  </si>
  <si>
    <t>8103.1</t>
  </si>
  <si>
    <t>Exhaust gas lines</t>
  </si>
  <si>
    <t>CHIEF ENGINEER</t>
  </si>
  <si>
    <t xml:space="preserve">Are  shore-ship communications, defined levels of authority and lines of communication documented and working effectively ?               </t>
  </si>
  <si>
    <t>Condition cargo pumps, cargo control, tank cleaning / tank heating systems, access facilities</t>
  </si>
  <si>
    <t xml:space="preserve">Ballast Tanks    </t>
  </si>
  <si>
    <t>8405.1</t>
  </si>
  <si>
    <t>8405.2</t>
  </si>
  <si>
    <t>8405.3</t>
  </si>
  <si>
    <t>8405.4</t>
  </si>
  <si>
    <t>8405.5</t>
  </si>
  <si>
    <t>Is an automatic wire rope lubricator in use on board?</t>
  </si>
  <si>
    <t>6300.2</t>
  </si>
  <si>
    <t>6300.3</t>
  </si>
  <si>
    <t>Condition of controllers / thermo couples &amp; wiring</t>
  </si>
  <si>
    <t>Loose wires, open doors of controllers</t>
  </si>
  <si>
    <t>8103.6</t>
  </si>
  <si>
    <t>Fuel oil system</t>
  </si>
  <si>
    <t>8111.1</t>
  </si>
  <si>
    <t>8111.2</t>
  </si>
  <si>
    <t>Condition of all instrumentation</t>
  </si>
  <si>
    <t>Special O2 meter</t>
  </si>
  <si>
    <t>8111.3</t>
  </si>
  <si>
    <t>Condition of all alarms and trips</t>
  </si>
  <si>
    <t>Helicopter / Ship Operations</t>
  </si>
  <si>
    <t xml:space="preserve">Mooring Operations  </t>
  </si>
  <si>
    <t xml:space="preserve">Bunker Operations </t>
  </si>
  <si>
    <t>Oil Tanker Cargo Operations  &amp; Additional Green Award requirements</t>
  </si>
  <si>
    <t xml:space="preserve">Ship to Ship Transfer Operations </t>
  </si>
  <si>
    <t>Crude Oil Washing Operations</t>
  </si>
  <si>
    <t>Is a log for "workingdays" of mooring wires and tails / fibre ropes maintained? (to predict the point of discard &amp; for evaluation of wire/rope performance )</t>
  </si>
  <si>
    <t>Structural</t>
  </si>
  <si>
    <t xml:space="preserve">Drawings     </t>
  </si>
  <si>
    <t>8401.1</t>
  </si>
  <si>
    <t>Review of all relevant structural drawings</t>
  </si>
  <si>
    <t>Overview structural design and scantlings</t>
  </si>
  <si>
    <t>310.8</t>
  </si>
  <si>
    <t>310.9</t>
  </si>
  <si>
    <t>310.10</t>
  </si>
  <si>
    <t>Drawings clearly visible and understandable for operation</t>
  </si>
  <si>
    <t xml:space="preserve">Functioning of Cargo / Ballast Pumps      </t>
  </si>
  <si>
    <t>8302.1</t>
  </si>
  <si>
    <t>Does the company have a policy concerning the retention and disposal of oil residues (sludge)?</t>
  </si>
  <si>
    <t>Condition ballast pumps, ballast control,  access facilities</t>
  </si>
  <si>
    <t xml:space="preserve">Void spaces / Cofferdams     </t>
  </si>
  <si>
    <t>DEVELOPMENT OF PLANS FOR SHIPBOARD OPERATIONS</t>
  </si>
  <si>
    <t>EMERGENCY PREPAREDNESS</t>
  </si>
  <si>
    <t>Electrical equipments in acc. with danger zones</t>
  </si>
  <si>
    <t>Zeners barriers etc.</t>
  </si>
  <si>
    <t xml:space="preserve">Inert Gas Plant    </t>
  </si>
  <si>
    <t>8114.3</t>
  </si>
  <si>
    <t>4400.2</t>
  </si>
  <si>
    <t>Does the vessel have a compressor for the refilling of air cylinders for breathing apparatus?</t>
  </si>
  <si>
    <t>1300.2</t>
  </si>
  <si>
    <t>8205.2</t>
  </si>
  <si>
    <t>5812.4</t>
  </si>
  <si>
    <t>5812.6</t>
  </si>
  <si>
    <t>Is there a designated space for long term stowage of garbage (except food waste)?</t>
  </si>
  <si>
    <t>Is the corrosion prevention system, other than coating, included in the maintenance system?</t>
  </si>
  <si>
    <t>Check for hydraulic leaks, presence of water and / or oil in drip-trays</t>
  </si>
  <si>
    <t>Cable supports bulkhead and deck penetrations</t>
  </si>
  <si>
    <t>8110.3</t>
  </si>
  <si>
    <t>Points that add up 
to minimum score
(indication only)</t>
  </si>
  <si>
    <t>a</t>
  </si>
  <si>
    <t>5460.2</t>
  </si>
  <si>
    <t>5460.3</t>
  </si>
  <si>
    <t>Is every separate pump working</t>
  </si>
  <si>
    <t>8302.2</t>
  </si>
  <si>
    <t>O</t>
  </si>
  <si>
    <t>Total score</t>
  </si>
  <si>
    <t>Inert Gas valves, non return valves, P/V breaker, mast riser</t>
  </si>
  <si>
    <t>Condition check</t>
  </si>
  <si>
    <t>8407.9</t>
  </si>
  <si>
    <t>P/V valves on every separate tank</t>
  </si>
  <si>
    <t xml:space="preserve">Visibility of Rudder Angle Indicator       </t>
  </si>
  <si>
    <t>Rudder angle indicator present</t>
  </si>
  <si>
    <t>Rudder angle indicator visible at steering position</t>
  </si>
  <si>
    <t xml:space="preserve">Access to Steering Gear        </t>
  </si>
  <si>
    <t>8208.1</t>
  </si>
  <si>
    <t>Entrance door to steering gear room closed</t>
  </si>
  <si>
    <t>1500.4</t>
  </si>
  <si>
    <t>1500.5</t>
  </si>
  <si>
    <t>1600.1</t>
  </si>
  <si>
    <t>1600.3</t>
  </si>
  <si>
    <t>Is training provided at a level required to effectively operate and maintain the system and cover normal, abnormal and emergency conditions?</t>
  </si>
  <si>
    <t>High and low level alarms etc.</t>
  </si>
  <si>
    <t>5821.5</t>
  </si>
  <si>
    <t>Survey reports with thickness readings, recommendations and conditions of class, repairs</t>
  </si>
  <si>
    <t>8402.2</t>
  </si>
  <si>
    <t>8402.3</t>
  </si>
  <si>
    <t>Inspection reports, repair, maintenance and dry-dock reports by ship's staff and superintendents</t>
  </si>
  <si>
    <t>8402.4</t>
  </si>
  <si>
    <t>8402.5</t>
  </si>
  <si>
    <t xml:space="preserve">External Hull      </t>
  </si>
  <si>
    <t>8403.1</t>
  </si>
  <si>
    <t>Shell plating</t>
  </si>
  <si>
    <t>Accommodation ladders, pilot ladders and gangway</t>
  </si>
  <si>
    <t>MAINTENANCE / SURVEYS</t>
  </si>
  <si>
    <t>6100.1</t>
  </si>
  <si>
    <t>Does the company have procedures to control documents and data relevant to the MS?</t>
  </si>
  <si>
    <r>
      <t xml:space="preserve">Enhanced Surveys </t>
    </r>
    <r>
      <rPr>
        <sz val="16"/>
        <rFont val="Arial"/>
        <family val="2"/>
      </rPr>
      <t xml:space="preserve"> </t>
    </r>
  </si>
  <si>
    <t xml:space="preserve">Are internal inspections for wires + fibre ropes carried out &amp; do these inspections  take manufacturer’s recommendations into account? </t>
  </si>
  <si>
    <t xml:space="preserve">Foundation, no leakages, condition of brakes, hinges and hinge plates </t>
  </si>
  <si>
    <t>8412.3</t>
  </si>
  <si>
    <t>Anchor securing</t>
  </si>
  <si>
    <t>Is new crew familiar with the operation and capabilities of the ship's mooring equipment?</t>
  </si>
  <si>
    <t>General performance</t>
  </si>
  <si>
    <t>8505.1</t>
  </si>
  <si>
    <t>Oil Pollution Emergency Plan</t>
  </si>
  <si>
    <t>Check availability</t>
  </si>
  <si>
    <t>8505.2</t>
  </si>
  <si>
    <t>Emergency equipment</t>
  </si>
  <si>
    <t>Check content and working order</t>
  </si>
  <si>
    <t>2300.3</t>
  </si>
  <si>
    <t>2300.4</t>
  </si>
  <si>
    <t>Is a drawing of the mooring arrangement readily available on the bridge?</t>
  </si>
  <si>
    <t>8302.3</t>
  </si>
  <si>
    <t>Enclosed Space Entry &amp; Hot Work</t>
  </si>
  <si>
    <t>Control of drugs &amp; alcohol onboard</t>
  </si>
  <si>
    <t>Emergency Response System</t>
  </si>
  <si>
    <t xml:space="preserve">PREVENTION OF POLLUTION </t>
  </si>
  <si>
    <t>Caused by collisions and / or under-/overpressure cargo tanks</t>
  </si>
  <si>
    <t>8407.4</t>
  </si>
  <si>
    <t>M</t>
  </si>
  <si>
    <t>4100.4</t>
  </si>
  <si>
    <t>Safety instructions near machinery (Grindstone, Lathe etc)</t>
  </si>
  <si>
    <t xml:space="preserve">Is a rescue / back-up team assigned and ready for immediate action upon call? </t>
  </si>
  <si>
    <t xml:space="preserve">Exhaust gases of machinery  </t>
  </si>
  <si>
    <t>103.1</t>
  </si>
  <si>
    <t>103.2</t>
  </si>
  <si>
    <t>Condition check of covers and closing devices</t>
  </si>
  <si>
    <t>8407.6</t>
  </si>
  <si>
    <t>Pipeline couplings, flanges, branches and supports</t>
  </si>
  <si>
    <t>SOLAS General Provisions</t>
  </si>
  <si>
    <t>Certificates and documents on board</t>
  </si>
  <si>
    <t>Maritime security</t>
  </si>
  <si>
    <r>
      <t>Safety of Navigation / SOLAS chart carriage requirements</t>
    </r>
    <r>
      <rPr>
        <sz val="14"/>
        <rFont val="Arial"/>
        <family val="2"/>
      </rPr>
      <t/>
    </r>
  </si>
  <si>
    <t>Prevention of pollution by oil</t>
  </si>
  <si>
    <t>Specialised Oil Tanker Training</t>
  </si>
  <si>
    <t>Is communication with media described in the emergency procedures and is shipboard personnel aware of these instructions?</t>
  </si>
  <si>
    <t>Are internal audits carried out to verify whether safety and pollution-prevention activities, and other procedures, comply with the MS?</t>
  </si>
  <si>
    <t xml:space="preserve">Are updated contact lists of coastal States, port contacts and ship interest contacts available? </t>
  </si>
  <si>
    <t>Emergency steering gear change over procedures</t>
  </si>
  <si>
    <t>Check possible leakages bellows / quick closing valves</t>
  </si>
  <si>
    <t>8105.5</t>
  </si>
  <si>
    <t>Bilge System</t>
  </si>
  <si>
    <t>8106.1</t>
  </si>
  <si>
    <t>109.4</t>
  </si>
  <si>
    <t>109.5</t>
  </si>
  <si>
    <t>110.1</t>
  </si>
  <si>
    <t>CREW</t>
  </si>
  <si>
    <t xml:space="preserve"> </t>
  </si>
  <si>
    <t>7200.1</t>
  </si>
  <si>
    <t>7200.2</t>
  </si>
  <si>
    <t>7200.3</t>
  </si>
  <si>
    <t>Is a responsible officer designated for all aspects of the operation?</t>
  </si>
  <si>
    <t>Does the bunker procedure include a bunker plan (company format) ?</t>
  </si>
  <si>
    <t>Deck plating - Fractures</t>
  </si>
  <si>
    <t>Does the company have objective evidence to show their support of the shipboard personnel in reporting of non-conformities / near misses?</t>
  </si>
  <si>
    <t>8113.1</t>
  </si>
  <si>
    <t>Position of firepump valves</t>
  </si>
  <si>
    <t>Are instructions available for position of valves</t>
  </si>
  <si>
    <t>8113.2</t>
  </si>
  <si>
    <t>General check of emergency firepump</t>
  </si>
  <si>
    <t>Does the vessel use hydraulic oil that is certified according to the EEL in mooring and anchor appliances?</t>
  </si>
  <si>
    <t>Does the vessel use hydraulic oil that is certified according to the EEL in crane appliances?</t>
  </si>
  <si>
    <t>Is the crew aware of characteristics of environmentally friendly lubricants (EEL certified) with respect to maintenance &amp; their effect on the applicable system if needed? (e.g. condition of seals &amp; filters, temperature &amp; condition of oil, prevention of humidity ingress etc.)</t>
  </si>
  <si>
    <t xml:space="preserve">Are the lubricants &amp; cleaning products compatible with the wire and approved by the wire manufacturer? </t>
  </si>
  <si>
    <t>Wear, corrosion, clearances inside hawser pipe</t>
  </si>
  <si>
    <t>8412.2</t>
  </si>
  <si>
    <t>Anchor winch and associated gear</t>
  </si>
  <si>
    <t>Is the master aware of cases where the ship cannot reasonably be expected to carry out ballast water exchange?</t>
  </si>
  <si>
    <t>Is an action plan in case of a helicopter accident available?</t>
  </si>
  <si>
    <t>7300.10</t>
  </si>
  <si>
    <t>Compass present in steering gear room</t>
  </si>
  <si>
    <t>8206.2</t>
  </si>
  <si>
    <t>Does the vessel use a mooring wire lubricant / grease that is certified according to the EEL?</t>
  </si>
  <si>
    <t>Mooring wire lubrication</t>
  </si>
  <si>
    <t>Deck equipment lubrication (use of oils)</t>
  </si>
  <si>
    <t>Check condition on deck, accommodation, ER and boiler room and clearly marked</t>
  </si>
  <si>
    <t>8503.11</t>
  </si>
  <si>
    <t>Fire lines</t>
  </si>
  <si>
    <t>Check condition on deck, accommodation, ER and boiler room</t>
  </si>
  <si>
    <t>8503.12</t>
  </si>
  <si>
    <t>Fire hoses</t>
  </si>
  <si>
    <t>8503.13</t>
  </si>
  <si>
    <t>Fire system for scavenging air receiver and boiler front</t>
  </si>
  <si>
    <t>Check records in engine / deck logbook. Testing before arrival and departure.</t>
  </si>
  <si>
    <t xml:space="preserve">Charging emergency header tank       </t>
  </si>
  <si>
    <t>8205.1</t>
  </si>
  <si>
    <t>Emergency header tank fully charged</t>
  </si>
  <si>
    <t>8407.16</t>
  </si>
  <si>
    <t>Manifold spill-tank 1,8 mtr. in width and reaching 1,2 mtr beyond reducer presentation flanges</t>
  </si>
  <si>
    <t>8407.17</t>
  </si>
  <si>
    <t>Condition and workable</t>
  </si>
  <si>
    <t>Is an additional inspection carried out according to documented instructions, to check for leakages during distillate fuel operation ?</t>
  </si>
  <si>
    <r>
      <t>For cases where the vessel must use low sulphur fuel for a prolonged period</t>
    </r>
    <r>
      <rPr>
        <sz val="16"/>
        <rFont val="Arial"/>
        <family val="2"/>
      </rPr>
      <t xml:space="preserve">  Are there instructions from the engine manufacturer, for use of appropriate (cylinder) lube oil for main &amp; auxiliary engines? </t>
    </r>
  </si>
  <si>
    <t>General cleanlinesss of E.R.</t>
  </si>
  <si>
    <t>Steering gear unit - and room  cleanliness</t>
  </si>
  <si>
    <t>Filters for leakage, purifiers cleanliness, area around purifiers</t>
  </si>
  <si>
    <t>Communication satisfactory</t>
  </si>
  <si>
    <t xml:space="preserve">MAXIMUM OBTAINABLE RANKING SCORE </t>
  </si>
  <si>
    <t>May indicate substantial corrosion and / or local stress areas</t>
  </si>
  <si>
    <t>8407.3</t>
  </si>
  <si>
    <t>5300.2</t>
  </si>
  <si>
    <t>Is a vapour return connection fitted on fore- and aft sides of the manifold?</t>
  </si>
  <si>
    <t>5300.3</t>
  </si>
  <si>
    <t>5300.4</t>
  </si>
  <si>
    <t>5300.5</t>
  </si>
  <si>
    <t>Mooring equipment</t>
  </si>
  <si>
    <t>8411.1</t>
  </si>
  <si>
    <t>Mooring lines</t>
  </si>
  <si>
    <t>Condition mooring lines</t>
  </si>
  <si>
    <t>8411.2</t>
  </si>
  <si>
    <t>Winches</t>
  </si>
  <si>
    <t>8411.3</t>
  </si>
  <si>
    <t>Condition winch-brakes</t>
  </si>
  <si>
    <t>Check condition and working order separate fire fighting system</t>
  </si>
  <si>
    <t xml:space="preserve">Escape routes     </t>
  </si>
  <si>
    <t>8504.1</t>
  </si>
  <si>
    <t>Free access</t>
  </si>
  <si>
    <t>Are all official ENCs and RNCs up-to-date?</t>
  </si>
  <si>
    <t>Hull Stress Monitoring System</t>
  </si>
  <si>
    <r>
      <t xml:space="preserve">Condition Assessment Program, Maintenance </t>
    </r>
    <r>
      <rPr>
        <sz val="16"/>
        <rFont val="Arial"/>
        <family val="2"/>
      </rPr>
      <t xml:space="preserve">Additional Green Award requirements </t>
    </r>
  </si>
  <si>
    <t>5430</t>
  </si>
  <si>
    <t>6200.11</t>
  </si>
  <si>
    <t>310.5</t>
  </si>
  <si>
    <t>310.6</t>
  </si>
  <si>
    <t>Check proper working and if they are normal closed</t>
  </si>
  <si>
    <t>8116.2</t>
  </si>
  <si>
    <t>Does the company give procedures/instructions for mooring/unmooring operations?</t>
  </si>
  <si>
    <t>2300.2</t>
  </si>
  <si>
    <t>Does the ship have a repair history?</t>
  </si>
  <si>
    <t>8410.3</t>
  </si>
  <si>
    <t>Stairs and platforms</t>
  </si>
  <si>
    <t>Does the ship have a valid (interim) International Ship Security Certificate?</t>
  </si>
  <si>
    <t>Does the Master have a procedure in order to report an incident to the nearest coastal state?</t>
  </si>
  <si>
    <t>310.2</t>
  </si>
  <si>
    <t>Are all personnel entering an enclosed space provided with a personal gas detector which can measure HC, oxygen and relevant toxic vapours?</t>
  </si>
  <si>
    <t>GENERAL</t>
  </si>
  <si>
    <t>Condition emergency towing equipment fore ship</t>
  </si>
  <si>
    <t>Safety / Rescue</t>
  </si>
  <si>
    <t>8102.4</t>
  </si>
  <si>
    <t>Handling of general E.R. waste</t>
  </si>
  <si>
    <t>Communication operational</t>
  </si>
  <si>
    <t>TOTAL SCORES</t>
  </si>
  <si>
    <t>3100.4</t>
  </si>
  <si>
    <t>3200.1</t>
  </si>
  <si>
    <t>CARGOES / CARGO OPERATIONS</t>
  </si>
  <si>
    <t>4100.1</t>
  </si>
  <si>
    <t>Are adequate system back-up’s for vessel computer-based systems made (where applicable) and are procedures for this documented ?</t>
  </si>
  <si>
    <t>Does the master motivate the crew in the observation of that policy?</t>
  </si>
  <si>
    <t>105.4</t>
  </si>
  <si>
    <t>4100.7</t>
  </si>
  <si>
    <t>Does the ship have an internal technical inspection programme?</t>
  </si>
  <si>
    <t>Are relevant previous survey and internal technical inspection reports available on board?</t>
  </si>
  <si>
    <t>Does the company issue procedures/instructions for hull / ship's construction condition inspections to be carried out by the ship's personnel?</t>
  </si>
  <si>
    <t>Is a Computer Based Program installed to register failures, break downs and near misses in order to have a constant event report on the systems?</t>
  </si>
  <si>
    <t>Is a Computer Based Program installed for spare parts management of critical equipment and stand- by equipment?</t>
  </si>
  <si>
    <t>Is a  safety stock available for critical equipment and stand-by equipment?</t>
  </si>
  <si>
    <t>2200.1</t>
  </si>
  <si>
    <t>2200.2</t>
  </si>
  <si>
    <t>6200.7</t>
  </si>
  <si>
    <t>Are ballast tanks maintained in a good condition?</t>
  </si>
  <si>
    <t>Is an evaluation report of vessel's performance sent to the company?</t>
  </si>
  <si>
    <t>Is ship's crew trained and drilled periodically according to enclosed space entry procedures ?</t>
  </si>
  <si>
    <t>Does training also include rescue and first aid?</t>
  </si>
  <si>
    <t xml:space="preserve">Testing      </t>
  </si>
  <si>
    <t>8204.1</t>
  </si>
  <si>
    <t>Emergency-steering tested recently</t>
  </si>
  <si>
    <t>Check records in engine / deck logbook</t>
  </si>
  <si>
    <t>8204.2</t>
  </si>
  <si>
    <t>Check last test report and thickness linings</t>
  </si>
  <si>
    <t>Anchoring equipment</t>
  </si>
  <si>
    <t>8412.1</t>
  </si>
  <si>
    <t>4400.1</t>
  </si>
  <si>
    <t>Does the MS provide for specific measures aimed at promoting the reliability of critical equipment and systems ?</t>
  </si>
  <si>
    <t>6100.3</t>
  </si>
  <si>
    <t>6100.4</t>
  </si>
  <si>
    <t>Other reports</t>
  </si>
  <si>
    <t>MANAGEMENT ELEMENTS</t>
  </si>
  <si>
    <t>101.1</t>
  </si>
  <si>
    <t>102.1</t>
  </si>
  <si>
    <t>Position of Fuel valve, Content of fuel tank etc.</t>
  </si>
  <si>
    <t>Pipe Line diagrams, mimic diagrams etc should be available in CCR</t>
  </si>
  <si>
    <t>8301.2</t>
  </si>
  <si>
    <t>Drawings visible inside CCR</t>
  </si>
  <si>
    <t>5820.3</t>
  </si>
  <si>
    <t>5820.4</t>
  </si>
  <si>
    <t>5821</t>
  </si>
  <si>
    <t>Outfitting of bilge water system</t>
  </si>
  <si>
    <t>5821.1</t>
  </si>
  <si>
    <t>5821.2</t>
  </si>
  <si>
    <t>Manifold spill-tank minimum depth of 300 mm</t>
  </si>
  <si>
    <t>8407.18</t>
  </si>
  <si>
    <t>Suitable means provided for draining manifold spill-tank</t>
  </si>
  <si>
    <t>8407.19</t>
  </si>
  <si>
    <t>Manifold spill-tank clean and empty</t>
  </si>
  <si>
    <t>8407.20</t>
  </si>
  <si>
    <t>106.14</t>
  </si>
  <si>
    <t>106.17</t>
  </si>
  <si>
    <t>107.3</t>
  </si>
  <si>
    <t>108.1</t>
  </si>
  <si>
    <t>108.2</t>
  </si>
  <si>
    <t>108.3</t>
  </si>
  <si>
    <t>106.15</t>
  </si>
  <si>
    <t>106.16</t>
  </si>
  <si>
    <t>107.2</t>
  </si>
  <si>
    <t>1200.5</t>
  </si>
  <si>
    <t>Fire control plans</t>
  </si>
  <si>
    <t>8503.5</t>
  </si>
  <si>
    <t>Portable fire extinguishers</t>
  </si>
  <si>
    <t>Is there an Enclosed Space Entry and Hot  Work  permit to work system, taking account of IMO and industry guidelines and where relevant local port / terminal requirements?</t>
  </si>
  <si>
    <t>Is company approval of the Hot Work permit required before work can begin?</t>
  </si>
  <si>
    <t>Does the Hot Work permit show the appropriate safety precautions to be taken relevant to the location of work?</t>
  </si>
  <si>
    <t>7300.1</t>
  </si>
  <si>
    <t>NOx Emissions</t>
  </si>
  <si>
    <t>8118.1</t>
  </si>
  <si>
    <t>Emission of main engines</t>
  </si>
  <si>
    <t>Content NOX en SOX</t>
  </si>
  <si>
    <t>Steering Gear</t>
  </si>
  <si>
    <t xml:space="preserve">SOLAS requirements      </t>
  </si>
  <si>
    <t>8201.1</t>
  </si>
  <si>
    <t>Cargo / Ballast pump gauges operational</t>
  </si>
  <si>
    <t>8304.2</t>
  </si>
  <si>
    <t>Green Award Visual Inspection - Oil Tankers</t>
  </si>
  <si>
    <t xml:space="preserve"> Green Award Visual Inspection - Oil Tankers</t>
  </si>
  <si>
    <t>106.1</t>
  </si>
  <si>
    <t>106.4</t>
  </si>
  <si>
    <t>8409.5</t>
  </si>
  <si>
    <t>Cleanliness of cylinder heads</t>
  </si>
  <si>
    <t>Is crew on board provided with suitable personal protective equipment and suitable equipment for testing the atmosphere of an enclosed space? (e.g. breathing apparatus, protective clothing and approved + calibrated atmosphere testing equipment)</t>
  </si>
  <si>
    <t>6200.8</t>
  </si>
  <si>
    <t>6200.9</t>
  </si>
  <si>
    <t>6200.12</t>
  </si>
  <si>
    <t>6400.1</t>
  </si>
  <si>
    <t>6400.8</t>
  </si>
  <si>
    <t>6400.9</t>
  </si>
  <si>
    <t>6400.3</t>
  </si>
  <si>
    <t>6400.4</t>
  </si>
  <si>
    <t>6400.5</t>
  </si>
  <si>
    <t>6400.6</t>
  </si>
  <si>
    <t>7400.4</t>
  </si>
  <si>
    <t>201.1</t>
  </si>
  <si>
    <t>201</t>
  </si>
  <si>
    <t>217.4</t>
  </si>
  <si>
    <t>217.2</t>
  </si>
  <si>
    <t>Speed sensor, suction meter,pressure meter, vibriation meter</t>
  </si>
  <si>
    <t>8303.2</t>
  </si>
  <si>
    <t>Pump alarms functioning</t>
  </si>
  <si>
    <t>Temp. of bearings and casing</t>
  </si>
  <si>
    <t>8303.3</t>
  </si>
  <si>
    <t>Turbine trips functioning</t>
  </si>
  <si>
    <t>Overspeed, backpressure, lub.oil pressure and bearing temp.</t>
  </si>
  <si>
    <t>8303.4</t>
  </si>
  <si>
    <t>Revision Code</t>
  </si>
  <si>
    <t>Does the plan provide procedures for the removal of oil spilled and contained on deck?</t>
  </si>
  <si>
    <t>Permanent drip-trays on open deck where spills may occur</t>
  </si>
  <si>
    <t>8407.13</t>
  </si>
  <si>
    <t>Does the plan include a list of information required for making damage stability and damage longitudinal strength assessments?</t>
  </si>
  <si>
    <t>Deck plating - Deformations</t>
  </si>
  <si>
    <t>5810.5</t>
  </si>
  <si>
    <t>Equipment stored at designated places</t>
  </si>
  <si>
    <t>400</t>
  </si>
  <si>
    <t>350</t>
  </si>
  <si>
    <t>1200.7</t>
  </si>
  <si>
    <t>1200.11</t>
  </si>
  <si>
    <t>1500.11</t>
  </si>
  <si>
    <t>1600</t>
  </si>
  <si>
    <t>2100</t>
  </si>
  <si>
    <t>2120.2</t>
  </si>
  <si>
    <t>3100</t>
  </si>
  <si>
    <t>3200</t>
  </si>
  <si>
    <t>4200.4</t>
  </si>
  <si>
    <t>4200</t>
  </si>
  <si>
    <t>4300.2</t>
  </si>
  <si>
    <t>Is atmosphere of double hull spaces/sbt tanks continuously monitored for hydrocarbon gases with alarm in the cargo control room and on the bridge?</t>
  </si>
  <si>
    <t>Is the working language between the office and the vessels defined?</t>
  </si>
  <si>
    <t>Condition check, corrosion / deformations</t>
  </si>
  <si>
    <t>8410.4</t>
  </si>
  <si>
    <t>8410.5</t>
  </si>
  <si>
    <t>Safety equipment</t>
  </si>
  <si>
    <t xml:space="preserve">Safety equipment    </t>
  </si>
  <si>
    <t>Are all official ENCs up-to-date?</t>
  </si>
  <si>
    <t>Is a winch brake test kit on board?</t>
  </si>
  <si>
    <t>6200.3</t>
  </si>
  <si>
    <t>6200.4</t>
  </si>
  <si>
    <t>Sufficient Personal Protecting Equipment available</t>
  </si>
  <si>
    <t>Near storage place and users place</t>
  </si>
  <si>
    <t>8109.2</t>
  </si>
  <si>
    <t>Ship Recycling - Inventory of Hazardous Materials</t>
  </si>
  <si>
    <t>Is the crew familiarised with the system(s)?</t>
  </si>
  <si>
    <t>7300.2</t>
  </si>
  <si>
    <t>2100.3</t>
  </si>
  <si>
    <t>Is the working language monitored and checked by the ship's staff?</t>
  </si>
  <si>
    <t>DECK RATING</t>
  </si>
  <si>
    <t>Is the company policy concerning safety and the environment available, posted and implemented 
at all levels?</t>
  </si>
  <si>
    <t>Does the plan provide guidance to ensure proper disposal of removed oil and clean-up materials?</t>
  </si>
  <si>
    <t>310.11</t>
  </si>
  <si>
    <t>350.3</t>
  </si>
  <si>
    <t>5800</t>
  </si>
  <si>
    <t>Accidental Bunker Oil Pollution Prevention Measures (overflow prevention systems)</t>
  </si>
  <si>
    <t>5800.5</t>
  </si>
  <si>
    <t>5800.6</t>
  </si>
  <si>
    <t>5800.7</t>
  </si>
  <si>
    <t>5800.8</t>
  </si>
  <si>
    <t>5810.4</t>
  </si>
  <si>
    <t>Are any tanks intended for fuel-oil or other substances, with a minimum capacity of 20m³, constructed at least B/15 or 2 metres above the keel level ?</t>
  </si>
  <si>
    <t>Are tanks for fuel oil protected by a double side ? (for ships below 20,000gt, width of double side to be at least 0.76m ; for 20,000gt and above, width to be at least 2 metres)</t>
  </si>
  <si>
    <t>Are all lubrication oil tanks constructed at least 0.76 metres above the keel line ?</t>
  </si>
  <si>
    <t>Are valid documents available at all relevant locations?</t>
  </si>
  <si>
    <t>111.3</t>
  </si>
  <si>
    <t>Are changes to documents reviewed and approved by authorised personnel?</t>
  </si>
  <si>
    <t>Are the responsibilities and authorities of all shipboard personnel clearly defined and implemented?</t>
  </si>
  <si>
    <t>Are the Management System (MS) Manuals maintained and updated?</t>
  </si>
  <si>
    <t>Are these drip-trays clean and properly closed</t>
  </si>
  <si>
    <t>8407.14</t>
  </si>
  <si>
    <t>Distance presentation flanges - ship's side &gt; 4,6 mtr</t>
  </si>
  <si>
    <t>8407.15</t>
  </si>
  <si>
    <t>SOLAS 1974</t>
  </si>
  <si>
    <t>MARPOL 73/78</t>
  </si>
  <si>
    <t>Prevention of pollution by garbage</t>
  </si>
  <si>
    <t>H.P. pipes condition of protecting pipe/cover, L.P. pipes check leakage and heating tracings</t>
  </si>
  <si>
    <t>8103.3</t>
  </si>
  <si>
    <t>Fuel oil, cooling water, lub. Oil and exhaust gas leaks</t>
  </si>
  <si>
    <t>8103.4</t>
  </si>
  <si>
    <t>Instructions on emergency stand</t>
  </si>
  <si>
    <t>Are there clear instructions available for changing over from normal  to emergency conditions</t>
  </si>
  <si>
    <t>8103.5</t>
  </si>
  <si>
    <t>7300.8</t>
  </si>
  <si>
    <t>Is an enhanced survey performed and endorsed by a Classification Society?</t>
  </si>
  <si>
    <r>
      <t>Also for vessels not engaged in regular STS operations in case the ship is ordered to lighter</t>
    </r>
    <r>
      <rPr>
        <sz val="16"/>
        <rFont val="Arial"/>
        <family val="2"/>
      </rPr>
      <t xml:space="preserve"> :  Are the checklists as described in the Ship to Ship Transfer Guide available for use? </t>
    </r>
  </si>
  <si>
    <t>106.13</t>
  </si>
  <si>
    <t>Check condition (incl. Kathodic wear) and working order</t>
  </si>
  <si>
    <t>8502.2</t>
  </si>
  <si>
    <t>Rescue boat + davits</t>
  </si>
  <si>
    <t>8502.3</t>
  </si>
  <si>
    <t>Life rafts + release system</t>
  </si>
  <si>
    <t>8502.4</t>
  </si>
  <si>
    <t>MACHINERY / ENGINE OPERATIONS</t>
  </si>
  <si>
    <t>3100.1</t>
  </si>
  <si>
    <t>3100.2</t>
  </si>
  <si>
    <t>3100.3</t>
  </si>
  <si>
    <t>104.3</t>
  </si>
  <si>
    <t>105.1</t>
  </si>
  <si>
    <t>105.3</t>
  </si>
  <si>
    <r>
      <t xml:space="preserve">Indicates that the minimum score for the relevant element is "0", hence a finding will </t>
    </r>
    <r>
      <rPr>
        <i/>
        <sz val="16"/>
        <rFont val="Arial"/>
        <family val="2"/>
      </rPr>
      <t>not</t>
    </r>
    <r>
      <rPr>
        <sz val="16"/>
        <rFont val="Arial"/>
        <family val="2"/>
      </rPr>
      <t xml:space="preserve"> be issued.</t>
    </r>
  </si>
  <si>
    <t xml:space="preserve">Ship name:   </t>
  </si>
  <si>
    <t xml:space="preserve">Date of Ship Survey:  </t>
  </si>
  <si>
    <t>8413.1</t>
  </si>
  <si>
    <t>Condition emergency towing equipment aft ship.</t>
  </si>
  <si>
    <t>Check wires etc.</t>
  </si>
  <si>
    <t>8413.2</t>
  </si>
  <si>
    <t>Generator inspections during operation max. load</t>
  </si>
  <si>
    <t>8110.2</t>
  </si>
  <si>
    <t>Condition of safety valves</t>
  </si>
  <si>
    <t>Check free movement</t>
  </si>
  <si>
    <t xml:space="preserve">Chemicals    </t>
  </si>
  <si>
    <t>8109.1</t>
  </si>
  <si>
    <t>Does the ship have instructions/procedures for the reporting of non-conformities/ near misses?</t>
  </si>
  <si>
    <t>ELEMENTS WITH NO 
MINIMUM SCORE</t>
  </si>
  <si>
    <t>Are cargo pipes regularly pressure tested?</t>
  </si>
  <si>
    <t>4400.8</t>
  </si>
  <si>
    <t>Are shipboard personnel informed about new/revised rules, regulations, codes and guidelines?</t>
  </si>
  <si>
    <t>Provisions concerning Reports on Incidents Involving Harmful Substances (Protocol 1)</t>
  </si>
  <si>
    <t>Are new personnel and personnel transferred to new assignments, given proper familiarisation with their duties?</t>
  </si>
  <si>
    <t>Is crude oil washing training provided for all deck officers?    (a flag-approved training course or in-house training supported by CBT or an equivalent alternative.  All training should be in accordance with ResA 446 (XI) as amended Appendix II and include a documented system showing participation and qualifications)</t>
  </si>
  <si>
    <t>1200.1</t>
  </si>
  <si>
    <t>1600.5</t>
  </si>
  <si>
    <t>1600.6</t>
  </si>
  <si>
    <t>8114.1</t>
  </si>
  <si>
    <t>Emergency stops of general service pumps</t>
  </si>
  <si>
    <t>Last time tested</t>
  </si>
  <si>
    <t>8114.2</t>
  </si>
  <si>
    <t>Emergency stops of steering gear pumps</t>
  </si>
  <si>
    <t>1200.2</t>
  </si>
  <si>
    <t>4100.10</t>
  </si>
  <si>
    <t>Is there an effective deck watch in attendance on deck during cargo operations?</t>
  </si>
  <si>
    <t>4100.11</t>
  </si>
  <si>
    <t>4100.12</t>
  </si>
  <si>
    <t>Is a terminal emergency plan available on board? (CCR)</t>
  </si>
  <si>
    <t>2300.1</t>
  </si>
  <si>
    <t>106.11</t>
  </si>
  <si>
    <t>NOT APPLICABLE</t>
  </si>
  <si>
    <t>6300.5</t>
  </si>
  <si>
    <t>1600.4</t>
  </si>
  <si>
    <t xml:space="preserve">Change over procedures      </t>
  </si>
  <si>
    <t>8203.1</t>
  </si>
  <si>
    <t>Is a certificate of test and thorough examination of lifting appliances issued? (CG2)</t>
  </si>
  <si>
    <t>6500.3</t>
  </si>
  <si>
    <t xml:space="preserve">Are specific mooring plans which have been used at certain terminals recorded? </t>
  </si>
  <si>
    <t>Does the master verify that specified requirements are observed?</t>
  </si>
  <si>
    <t>105.5</t>
  </si>
  <si>
    <t>Condition of closing valve station</t>
  </si>
  <si>
    <t>5421.3</t>
  </si>
  <si>
    <t>5421.4</t>
  </si>
  <si>
    <t>5421.5</t>
  </si>
  <si>
    <t>5421.6</t>
  </si>
  <si>
    <t>5421.7</t>
  </si>
  <si>
    <t>8406.1</t>
  </si>
  <si>
    <t>8406.2</t>
  </si>
  <si>
    <t>8406.3</t>
  </si>
  <si>
    <t>8406.4</t>
  </si>
  <si>
    <t>217.8</t>
  </si>
  <si>
    <r>
      <t xml:space="preserve">Is a device installed to check the integrity of the sea-chest &amp; are </t>
    </r>
    <r>
      <rPr>
        <b/>
        <sz val="16"/>
        <rFont val="Arial"/>
        <family val="2"/>
      </rPr>
      <t>test procedures</t>
    </r>
    <r>
      <rPr>
        <sz val="16"/>
        <rFont val="Arial"/>
        <family val="2"/>
      </rPr>
      <t xml:space="preserve"> available and implemented?</t>
    </r>
  </si>
  <si>
    <t>CHECKLIST - VISUAL INSPECTION - SURVEY - OIL TANKERS</t>
  </si>
  <si>
    <t>Is each cargo tank fitted with an independent overfill alarm?</t>
  </si>
  <si>
    <t>4400.5</t>
  </si>
  <si>
    <t>Are cargo tanks fully coated?</t>
  </si>
  <si>
    <t>4400.6</t>
  </si>
  <si>
    <t>4400.7</t>
  </si>
  <si>
    <t>5821.6</t>
  </si>
  <si>
    <t>5821.7</t>
  </si>
  <si>
    <t>5821.8</t>
  </si>
  <si>
    <t>Has the 2nd officer (deck) completed an approved advanced training for oil tanker cargo operations? (As a minimum, the program should comply with STCW 2010 including Manila amendments Reg V/1-1)</t>
  </si>
  <si>
    <t>Stripping pumps with temperature sensors readout CCR</t>
  </si>
  <si>
    <t>106.12</t>
  </si>
  <si>
    <t>Condition pipes, supports, coupling, flanges, deformations and leakages</t>
  </si>
  <si>
    <t>8404.5</t>
  </si>
  <si>
    <t>Is relevant information on the MS written in a working language or languages understood by officers and shipboard personnel?</t>
  </si>
  <si>
    <t>Alarms high level &amp; high-high level in good condition</t>
  </si>
  <si>
    <t>8106.6</t>
  </si>
  <si>
    <t>8503.1</t>
  </si>
  <si>
    <t>CO2 / Halon system</t>
  </si>
  <si>
    <t>Examination of cables without attachments</t>
  </si>
  <si>
    <t>Meters / Displays Inside Pump Room     Class</t>
  </si>
  <si>
    <t>8307.1</t>
  </si>
  <si>
    <t>8501.1</t>
  </si>
  <si>
    <t>Certificates</t>
  </si>
  <si>
    <t>Particulate Matter (PM) Emissions</t>
  </si>
  <si>
    <t>Compliance with General Provisions</t>
  </si>
  <si>
    <t>6500.1</t>
  </si>
  <si>
    <t xml:space="preserve">Condition of lagging </t>
  </si>
  <si>
    <t>Access to steering gear unit unobstructed</t>
  </si>
  <si>
    <t>8410.6</t>
  </si>
  <si>
    <t>Certificates for safety equipment</t>
  </si>
  <si>
    <t>Ballast pumps with temperature sensors readout CCR</t>
  </si>
  <si>
    <t>Environmental Ship Index (ESI)</t>
  </si>
  <si>
    <t>7400.1</t>
  </si>
  <si>
    <t>7400.2</t>
  </si>
  <si>
    <t>7500.1</t>
  </si>
  <si>
    <t xml:space="preserve">Are tasks, qualifications and responsibilities evaluated during drills and exercises as described in the emergency procedures? </t>
  </si>
  <si>
    <t>CATERING PERSONNEL</t>
  </si>
  <si>
    <t>8502.7</t>
  </si>
  <si>
    <t>Life buoys</t>
  </si>
  <si>
    <t xml:space="preserve">Are masters entitled to use non-compulsory pilot services? (must be stated in a company procedure) </t>
  </si>
  <si>
    <t>8306.2</t>
  </si>
  <si>
    <t>Are corrective and/or preventive actions taken?</t>
  </si>
  <si>
    <t>Is objective evidence available that safety and environmental aspects of the operation of the ship are monitored and that the required adequate resources and shore-based support is applied ?</t>
  </si>
  <si>
    <t>MASTER'S RESPONSIBILITY AND AUTHORITY</t>
  </si>
  <si>
    <t>Does the master review the MS and are its deficiencies reported to the shore-based management?</t>
  </si>
  <si>
    <t>Oil- &amp; gas-free enviroment</t>
  </si>
  <si>
    <t>8102.3</t>
  </si>
  <si>
    <t>Storage E.R. equipment</t>
  </si>
  <si>
    <t>Are plans and instructions for key shipboard operations concerning safety of the ship and prevention of pollution, evaluated and reviewed?</t>
  </si>
  <si>
    <t>Bilge level monitoring devices and bilge alarms installed</t>
  </si>
  <si>
    <t>Inert Gas system fully operational</t>
  </si>
  <si>
    <t>Steering gear unit complies with SOLAS</t>
  </si>
  <si>
    <t>8201.2</t>
  </si>
  <si>
    <t>Steering gear room complies with SOLAS</t>
  </si>
  <si>
    <t>8202.3</t>
  </si>
  <si>
    <t>8103.8</t>
  </si>
  <si>
    <t>Is a maintenance checklist used regarding the (monthly) maintenance inspection?</t>
  </si>
  <si>
    <t>5460.4</t>
  </si>
  <si>
    <t xml:space="preserve">Does the ship participate in the Environmental Ship Index (ESI) and are ESI points above 30?  </t>
  </si>
  <si>
    <t>Unsecured and loose material, tools and E.R. spare-parts</t>
  </si>
  <si>
    <t>8102.2</t>
  </si>
  <si>
    <t>8101.3</t>
  </si>
  <si>
    <t>8207.2</t>
  </si>
  <si>
    <t>Cargo / Ballast pump tachometers operational</t>
  </si>
  <si>
    <t xml:space="preserve">Engine / Pump Room Seals     </t>
  </si>
  <si>
    <t>8105.4</t>
  </si>
  <si>
    <t>Thermal Oil</t>
  </si>
  <si>
    <t>Fire flaps and vent stops</t>
  </si>
  <si>
    <t>Ventialtion starts when lights switched on, failure of ventilation seperate of light-functioning</t>
  </si>
  <si>
    <t>8308.3</t>
  </si>
  <si>
    <t>Condition of electrical safety barriers</t>
  </si>
  <si>
    <t>Leakage, condition of fuel oil, lub. oil lines</t>
  </si>
  <si>
    <t>Cracks, corrosion and / or pipes connections not tight</t>
  </si>
  <si>
    <t>8104.3</t>
  </si>
  <si>
    <t>Oil-, water-, corrosion- and dirt-free</t>
  </si>
  <si>
    <t>Emergency Generator</t>
  </si>
  <si>
    <t>Condition and date last tested</t>
  </si>
  <si>
    <t>Telephone available and working</t>
  </si>
  <si>
    <t>8207.3</t>
  </si>
  <si>
    <t>Sound powered telephone available and working</t>
  </si>
  <si>
    <t>Oil, liquid and dirt free</t>
  </si>
  <si>
    <t>Condition gauge glasses lub. oil tanks</t>
  </si>
  <si>
    <t>8116.3</t>
  </si>
  <si>
    <t xml:space="preserve">Is the vessel in receipt of evaluation reports of the annual ERS drill(s) between company, (class) and vessel? </t>
  </si>
  <si>
    <t>Is the evaluation report of the annual ERS drill discussed in a safety meeting?</t>
  </si>
  <si>
    <t>Guidelines on the means of access to structures for inspection and maintenance of oil tankers</t>
  </si>
  <si>
    <t>8101.5</t>
  </si>
  <si>
    <t>218</t>
  </si>
  <si>
    <t xml:space="preserve">Noise Levels On Board Ships </t>
  </si>
  <si>
    <t>218.1</t>
  </si>
  <si>
    <t>218.2</t>
  </si>
  <si>
    <t>1700</t>
  </si>
  <si>
    <t>Noise and Vibration Management</t>
  </si>
  <si>
    <t>1700.2</t>
  </si>
  <si>
    <t>1700.3</t>
  </si>
  <si>
    <t>1700.4</t>
  </si>
  <si>
    <t>Noise Mitigation and Health Hazards</t>
  </si>
  <si>
    <t>1700.8</t>
  </si>
  <si>
    <t>1710</t>
  </si>
  <si>
    <t>Underwater Noise and Vibration Management</t>
  </si>
  <si>
    <t>1710.1</t>
  </si>
  <si>
    <t xml:space="preserve">Is the noise survey report available onboard? </t>
  </si>
  <si>
    <t>Are noise areas marked by placing relevant visible warning notices at the entrance to these areas? (IMO noise symbols)</t>
  </si>
  <si>
    <t>Noise/Vibration Monitoring and Measures</t>
  </si>
  <si>
    <t>Is the crew wearing hearing protectors which meet the requirements of the HML(High-Medium-Low) method (ISO 4869-2:1994) when entering spaces where noise levels exceed 85db(a)?</t>
  </si>
  <si>
    <t>Does the PMS have the routine to inspect and rectify any abnormalities in terms of noise and vibration from a machinery equipment ?</t>
  </si>
  <si>
    <t xml:space="preserve">Are appropriated measures implemented onboard in order to protect the crew from cargo handling equipment noise if the noise exceeds 85db(a) (by taking into account technical solutions and/or exposure limits)? </t>
  </si>
  <si>
    <t>Is the noise exposure limit of each rating/officer recorded  and available onboard?</t>
  </si>
  <si>
    <t>1700.9</t>
  </si>
  <si>
    <t>Is the crew restricted towards prolonged exposure in spaces where noise limits exceed 110 db(a)?</t>
  </si>
  <si>
    <t>1700.10</t>
  </si>
  <si>
    <t>Are all engine exhaust pipes insulated with ship specific suitable silencers to attenuate noise?</t>
  </si>
  <si>
    <t>1700.11</t>
  </si>
  <si>
    <t>Is the ship installed with noise cancelling equipment such as active mufflers/mounts, resilient mounts, vibration dampers where practically possible?</t>
  </si>
  <si>
    <t>1700.12</t>
  </si>
  <si>
    <t>Are noise cancelling measures such as mineral wool/silencers being installed in the ventilation ducts or fan rooms to reduce the noise level?</t>
  </si>
  <si>
    <t>Were any measures implemented periodically to reduce cavitation from propeller?</t>
  </si>
  <si>
    <t>5200.16</t>
  </si>
  <si>
    <t>5200.22</t>
  </si>
  <si>
    <t>5200.25</t>
  </si>
  <si>
    <t>5200.28</t>
  </si>
  <si>
    <t>Are records kept according to the garbage management plan?</t>
  </si>
  <si>
    <t xml:space="preserve">5200.20 </t>
  </si>
  <si>
    <t xml:space="preserve">Are the crew aware that  plastic should not be incinerated? </t>
  </si>
  <si>
    <t>5200.31</t>
  </si>
  <si>
    <t>Is the vessel equipped with compactor to reduce the volume of garbage?</t>
  </si>
  <si>
    <t>5200.37</t>
  </si>
  <si>
    <t>Is the vessel equipped with a waste shredder?</t>
  </si>
  <si>
    <t>5200.33</t>
  </si>
  <si>
    <t>5200.34</t>
  </si>
  <si>
    <t>5200.35</t>
  </si>
  <si>
    <t>Is the vessel equipped with grinder/comminutor for food waste ?</t>
  </si>
  <si>
    <t xml:space="preserve">5200.32 </t>
  </si>
  <si>
    <t xml:space="preserve">Are all incinerated ashes and clinkers always delivered to the port reception facilities? </t>
  </si>
  <si>
    <t>Waste Management / Garbage Handling Onboard</t>
  </si>
  <si>
    <t>7200</t>
  </si>
  <si>
    <t>7200.7</t>
  </si>
  <si>
    <t>7200.6</t>
  </si>
  <si>
    <t>7200.8</t>
  </si>
  <si>
    <r>
      <t>Extra Personnel</t>
    </r>
    <r>
      <rPr>
        <sz val="16"/>
        <rFont val="Arial"/>
        <family val="2"/>
      </rPr>
      <t>, Additional Green Award Requirement</t>
    </r>
  </si>
  <si>
    <t>7300.19</t>
  </si>
  <si>
    <t>7300.20</t>
  </si>
  <si>
    <t>7500</t>
  </si>
  <si>
    <t>Safe Manning and Fatigue Management</t>
  </si>
  <si>
    <t>7500.5</t>
  </si>
  <si>
    <t xml:space="preserve">Are there extra deck officers onboard in addition to what is required by minimum safe manning document? </t>
  </si>
  <si>
    <t xml:space="preserve">Are there extra engine officers onboard in addition to what is required by minimum safe manning document? </t>
  </si>
  <si>
    <t>Are there extra deck ratings onboard in addition to what is required by minimum safe manning document?</t>
  </si>
  <si>
    <t xml:space="preserve">Are there extra engine ratings onboard  in addition to what is required by minimum safe manning document? </t>
  </si>
  <si>
    <t>Is there an electrical officer onboard in addition to the engine officers required by the safe manning document?</t>
  </si>
  <si>
    <t>Are all onboard personnel trained and qualified according to the approved Basic training for Oil tanker cargo operations? (as STCW 2010 including Manila amendments Reg V/1-1) 
(If training comprises at least 3 months approved seagoing service on tankers (instead of an approved tanker familiarization course) this should include onboard computer-based training (CBT) and a documented system showing participation and qualifications.)</t>
  </si>
  <si>
    <t>Has the onboard management completed the onboard assessment/train the trainer course (IMO 1.30)?</t>
  </si>
  <si>
    <t xml:space="preserve">Have the officers involved in cargo and ballast handling completed a simulator based training/course (IMO 2.06) ? </t>
  </si>
  <si>
    <t>Have all the deck officers completed bridge team management/bridge resource management training course (IMO 1.22) ?</t>
  </si>
  <si>
    <t>Have all the engine officers completed engine room resource management training course?</t>
  </si>
  <si>
    <r>
      <rPr>
        <b/>
        <u/>
        <sz val="16"/>
        <rFont val="Arial"/>
        <family val="2"/>
      </rPr>
      <t>Alternative to 7300.8 &amp; 7300.19</t>
    </r>
    <r>
      <rPr>
        <b/>
        <sz val="16"/>
        <rFont val="Arial"/>
        <family val="2"/>
      </rPr>
      <t xml:space="preserve"> </t>
    </r>
    <r>
      <rPr>
        <sz val="16"/>
        <rFont val="Arial"/>
        <family val="2"/>
      </rPr>
      <t>Have all  the officers completed maritime resource management course ?</t>
    </r>
  </si>
  <si>
    <t>Have all the ship board crew after a period of absence or leave has been provided with familiarization of changes with regard to the operations/machinery which is related to their position ?</t>
  </si>
  <si>
    <t>Are the company format handover reports from all off - signing officers available onboard?</t>
  </si>
  <si>
    <t>7400.7</t>
  </si>
  <si>
    <t xml:space="preserve">Are the on-signers aware of the content of the hand-over reports? </t>
  </si>
  <si>
    <t>Is the master provided with instruction/procedure to monitor and address non compliance on STCW 2010 Manila amendments on work/rest hours onboard ?</t>
  </si>
  <si>
    <t>7500.7</t>
  </si>
  <si>
    <t>Have the ship personnel completed "Marine Environmental Awareness" course (IMO 1.38)?</t>
  </si>
  <si>
    <t>Training  &amp; Onboard Use of ECDIS (Compulsory carriage of ECDIS)</t>
  </si>
  <si>
    <t>2100.15</t>
  </si>
  <si>
    <t>2100.16</t>
  </si>
  <si>
    <t>2100.17</t>
  </si>
  <si>
    <t>2111</t>
  </si>
  <si>
    <t>Electronic chart display &amp; information systems / ECDIS</t>
  </si>
  <si>
    <t>2111.4</t>
  </si>
  <si>
    <t>2111.5</t>
  </si>
  <si>
    <t>2111.6</t>
  </si>
  <si>
    <t>2111.7</t>
  </si>
  <si>
    <t>2111.11</t>
  </si>
  <si>
    <t>2111.12</t>
  </si>
  <si>
    <t xml:space="preserve">Is the ECDIS type-approved according to Res A 817(19)  as amended by MSC 64 (67) and MSC 86 (70) or MSC.232(82)? </t>
  </si>
  <si>
    <t>Is the ECDIS type-approved according to Res A817 (19)  as amended by MSC 64 (67) and MSC 86 (70) or MSC.232(82)?</t>
  </si>
  <si>
    <t>Is an acceptable back-up arrangement in place? ( an independent  type-approved ECDIS with an independent position fixing system using official ENCs and Raster Navigational Charts where needed, or a full / reduced folio of up-to-date paper charts, as relevant to the ship's voyage )</t>
  </si>
  <si>
    <t>Is an acceptable back-up arrangement in place? ( an independent  type-approved ECDIS with an independent position fixing system using official Electronic Navigational Charts (ENC's), or a full / reduced folio of up-to-date paper charts as relevant to the ship's voyage )</t>
  </si>
  <si>
    <t xml:space="preserve">Have all deck officers and the master completed generic training in the use of ECDIS based on the IMO model course 1.27?   </t>
  </si>
  <si>
    <r>
      <rPr>
        <sz val="16"/>
        <color indexed="8"/>
        <rFont val="Arial"/>
        <family val="2"/>
      </rPr>
      <t>Is the vessel automatically supplied with n</t>
    </r>
    <r>
      <rPr>
        <sz val="16"/>
        <rFont val="Arial"/>
        <family val="2"/>
      </rPr>
      <t>ew hydrographic publications?</t>
    </r>
  </si>
  <si>
    <r>
      <t>Is the vessel electronically updated for hydrographic publications? (eg. Temporary and Preliminary NtM</t>
    </r>
    <r>
      <rPr>
        <sz val="16"/>
        <color indexed="8"/>
        <rFont val="Arial"/>
        <family val="2"/>
      </rPr>
      <t>)</t>
    </r>
  </si>
  <si>
    <t>Is navigational equipment included in the electronic Planned Maintenance System?</t>
  </si>
  <si>
    <t>Is the vessel equipped with  the multi constellation GNSS receiver?</t>
  </si>
  <si>
    <t>Is the vessel equipped with the eLoran receiver?</t>
  </si>
  <si>
    <t>Is the position for all stages of voyage compared with a different method of positioning than GPS?</t>
  </si>
  <si>
    <t>2111.10</t>
  </si>
  <si>
    <t>Is ECDIS hardware maintained and software updated?</t>
  </si>
  <si>
    <t>Is ECDIS tested according to the IHO ECDIS data presentation and performance check with a use of test data set after every update of the software (including back up)?</t>
  </si>
  <si>
    <t>Is the crew regardless of the generic training familiarized with the ECDIS unit(s) installed onboard according to the Industry Recommendations for ECDIS Familiarisation?</t>
  </si>
  <si>
    <t>Have all the officers completed structured ECDIS training(s) on top of the generic training (besides the familiarization onboard in R2111.6)?</t>
  </si>
  <si>
    <t>Does the voyage planning include checking if all needed charts are up-to-date  (latest edition official chart updated an corrected to the latest available updates and NtM)?</t>
  </si>
  <si>
    <t>Does the ECDIS procedure suggest  display settings (layers) of ECDIS for various navigation conditions (arrival / departure - coastal - deep sea)?</t>
  </si>
  <si>
    <t>Does the vessel have a basic folio of paper charts (in case second ECDIS is a back up system)?</t>
  </si>
  <si>
    <t>Applicable to ships for which carriage of ECDIS is compulsory</t>
  </si>
  <si>
    <r>
      <t>Alternative 2 (217.1 - 217.4):</t>
    </r>
    <r>
      <rPr>
        <b/>
        <sz val="16"/>
        <rFont val="Arial"/>
        <family val="2"/>
      </rPr>
      <t xml:space="preserve">  Compulsory carriage of ECDIS, Navigation with official ENCs where available and official RNCs where ENCs are not available</t>
    </r>
  </si>
  <si>
    <r>
      <t>Alternative 1 (217.1 - 217.4) :</t>
    </r>
    <r>
      <rPr>
        <b/>
        <sz val="16"/>
        <rFont val="Arial"/>
        <family val="2"/>
      </rPr>
      <t xml:space="preserve"> Compulsory carriage of ECDIS, with full official ENC coverage</t>
    </r>
  </si>
  <si>
    <t>Is there a ship administrator onboard (In addition to the standard complement and extra deck-officers and -ratings above) ?</t>
  </si>
  <si>
    <t>5500</t>
  </si>
  <si>
    <t>Sewage Management</t>
  </si>
  <si>
    <t>5500.2</t>
  </si>
  <si>
    <t>5510</t>
  </si>
  <si>
    <t>Grey Water Management</t>
  </si>
  <si>
    <t>5510.1</t>
  </si>
  <si>
    <t>5510.2</t>
  </si>
  <si>
    <t>5500.3</t>
  </si>
  <si>
    <t>5500.8</t>
  </si>
  <si>
    <t>Is the sewage treatment plant regularly checked and maintained as per manufacturer's guidelines?</t>
  </si>
  <si>
    <t>Is the sewage treatment plant capable of treating grey water before being discharged?</t>
  </si>
  <si>
    <t>Is the grey water never discharged within the coastal and port areas?</t>
  </si>
  <si>
    <t xml:space="preserve">Does the ship participate in the Environmental Ship Index (ESI) and are ESI points above 40?  </t>
  </si>
  <si>
    <t xml:space="preserve">Does the ship participate in the Environmental Ship Index (ESI) and are ESI points above 50?  </t>
  </si>
  <si>
    <t>2100.18</t>
  </si>
  <si>
    <t>2100.19</t>
  </si>
  <si>
    <t>Is the vessel using weather routing services while on long haul voyage?</t>
  </si>
  <si>
    <t>Is the vessel enrolled in a meteorological &amp; oceanographic service in a form of a software application?</t>
  </si>
  <si>
    <r>
      <rPr>
        <b/>
        <u/>
        <sz val="16"/>
        <rFont val="Arial"/>
        <family val="2"/>
      </rPr>
      <t>Alternative to 2100.18</t>
    </r>
    <r>
      <rPr>
        <sz val="16"/>
        <rFont val="Arial"/>
        <family val="2"/>
      </rPr>
      <t>:  Does the vessel have a capability to receive comprehensive weather information from the office or from coastal stations / platforms?</t>
    </r>
  </si>
  <si>
    <t>7400.10</t>
  </si>
  <si>
    <t>In those cases when junior or senior officers are transferred to another class of ship that differ considerably from where their experience lie, is an onboard appropriate operational experience with previous off-signing officers implemented for a specific minimum period?</t>
  </si>
  <si>
    <t>5810.6</t>
  </si>
  <si>
    <r>
      <t xml:space="preserve">Is the vessel fitted with a class approved stern tube </t>
    </r>
    <r>
      <rPr>
        <u/>
        <sz val="16"/>
        <rFont val="Arial"/>
        <family val="2"/>
      </rPr>
      <t>water</t>
    </r>
    <r>
      <rPr>
        <sz val="16"/>
        <rFont val="Arial"/>
        <family val="2"/>
      </rPr>
      <t xml:space="preserve"> lubricated system which uses </t>
    </r>
    <r>
      <rPr>
        <u/>
        <sz val="16"/>
        <rFont val="Arial"/>
        <family val="2"/>
      </rPr>
      <t>sea water</t>
    </r>
    <r>
      <rPr>
        <sz val="16"/>
        <rFont val="Arial"/>
        <family val="2"/>
      </rPr>
      <t xml:space="preserve"> as a lubricant? (system includes water conditioning and monitoring equipment)</t>
    </r>
  </si>
  <si>
    <r>
      <t>Alternative for 5810.1 and 5810.6:</t>
    </r>
    <r>
      <rPr>
        <sz val="16"/>
        <rFont val="Arial"/>
        <family val="2"/>
      </rPr>
      <t xml:space="preserve">
Does the vessel use a stern tube lubricant that is certified according to the EAL/EEL or equivalent?</t>
    </r>
  </si>
  <si>
    <r>
      <rPr>
        <b/>
        <u/>
        <sz val="16"/>
        <rFont val="Arial"/>
        <family val="2"/>
      </rPr>
      <t xml:space="preserve">Alternative for 5810.1 and 5810.6: </t>
    </r>
    <r>
      <rPr>
        <sz val="16"/>
        <rFont val="Arial"/>
        <family val="2"/>
      </rPr>
      <t xml:space="preserve">
Is the crew aware of characteristics of the environmentally friendly stern tube lubricant (EAL/EEL certified or equivalent) with respect to maintenance &amp; its effect on the system if needed? (e.g. condition of seals &amp; filters, temperature &amp; condition of oil etc.)</t>
    </r>
  </si>
  <si>
    <r>
      <t xml:space="preserve">Does the ship hold a CAP rating for </t>
    </r>
    <r>
      <rPr>
        <u/>
        <sz val="16"/>
        <rFont val="Arial"/>
        <family val="2"/>
      </rPr>
      <t>Hull</t>
    </r>
    <r>
      <rPr>
        <sz val="16"/>
        <rFont val="Arial"/>
        <family val="2"/>
      </rPr>
      <t xml:space="preserve"> with Rating / Grade 2 as a minimum? 
(When the vessel reaches </t>
    </r>
    <r>
      <rPr>
        <u/>
        <sz val="16"/>
        <rFont val="Arial"/>
        <family val="2"/>
      </rPr>
      <t>15 years</t>
    </r>
    <r>
      <rPr>
        <sz val="16"/>
        <rFont val="Arial"/>
        <family val="2"/>
      </rPr>
      <t xml:space="preserve"> of age, or by the </t>
    </r>
    <r>
      <rPr>
        <u/>
        <sz val="16"/>
        <rFont val="Arial"/>
        <family val="2"/>
      </rPr>
      <t>end of the 3rd special survey</t>
    </r>
    <r>
      <rPr>
        <sz val="16"/>
        <rFont val="Arial"/>
        <family val="2"/>
      </rPr>
      <t>, whichever is earlier.)</t>
    </r>
  </si>
  <si>
    <r>
      <t xml:space="preserve">Does the ship hold a CAP rating for </t>
    </r>
    <r>
      <rPr>
        <u/>
        <sz val="16"/>
        <rFont val="Arial"/>
        <family val="2"/>
      </rPr>
      <t>Cargo Systems</t>
    </r>
    <r>
      <rPr>
        <sz val="16"/>
        <rFont val="Arial"/>
        <family val="2"/>
      </rPr>
      <t xml:space="preserve"> with Rating / Grade 2 as a minimum? 
(When the vessel reaches </t>
    </r>
    <r>
      <rPr>
        <u/>
        <sz val="16"/>
        <rFont val="Arial"/>
        <family val="2"/>
      </rPr>
      <t>15 years</t>
    </r>
    <r>
      <rPr>
        <sz val="16"/>
        <rFont val="Arial"/>
        <family val="2"/>
      </rPr>
      <t xml:space="preserve"> of age, or by the end of the </t>
    </r>
    <r>
      <rPr>
        <u/>
        <sz val="16"/>
        <rFont val="Arial"/>
        <family val="2"/>
      </rPr>
      <t>3rd special survey</t>
    </r>
    <r>
      <rPr>
        <sz val="16"/>
        <rFont val="Arial"/>
        <family val="2"/>
      </rPr>
      <t>, whichever is earlier.)</t>
    </r>
  </si>
  <si>
    <r>
      <t xml:space="preserve">(Alternative to 6400.1, 6400.8 and 6400.9 above) </t>
    </r>
    <r>
      <rPr>
        <sz val="16"/>
        <rFont val="Arial"/>
        <family val="2"/>
      </rPr>
      <t>Is the ship less than 15 years of age or has not reached the end of the 3rd special survey yet?</t>
    </r>
  </si>
  <si>
    <r>
      <t>Alternative for 5810.1, 5810.3, 5810.4 and 5810.5</t>
    </r>
    <r>
      <rPr>
        <sz val="16"/>
        <rFont val="Arial"/>
        <family val="2"/>
      </rPr>
      <t xml:space="preserve">
Is the vessel fitted with a class approved stern tube water lubricated system which uses </t>
    </r>
    <r>
      <rPr>
        <u/>
        <sz val="16"/>
        <rFont val="Arial"/>
        <family val="2"/>
      </rPr>
      <t>fresh water</t>
    </r>
    <r>
      <rPr>
        <sz val="16"/>
        <rFont val="Arial"/>
        <family val="2"/>
      </rPr>
      <t xml:space="preserve"> as a lubricant? (system  includes water conditioning and monitoring equipment)
*Additives used to maintain the condition of the water should be environmentally friendly.</t>
    </r>
  </si>
  <si>
    <t>na</t>
  </si>
  <si>
    <t>Have all newly employed/engaged shipboard crew (first ship for that specific company) been provided with familiarization with regard to operations/machinery which is related to their position ?</t>
  </si>
  <si>
    <r>
      <t xml:space="preserve">Alternative for 5810.1 and 5810.6: </t>
    </r>
    <r>
      <rPr>
        <sz val="16"/>
        <rFont val="Arial"/>
        <family val="2"/>
      </rPr>
      <t xml:space="preserve">
Is the vessel fitted with a class approved stern tube  lubrication system with an </t>
    </r>
    <r>
      <rPr>
        <u/>
        <sz val="16"/>
        <rFont val="Arial"/>
        <family val="2"/>
      </rPr>
      <t>air type</t>
    </r>
    <r>
      <rPr>
        <sz val="16"/>
        <rFont val="Arial"/>
        <family val="2"/>
      </rPr>
      <t xml:space="preserve"> or </t>
    </r>
    <r>
      <rPr>
        <u/>
        <sz val="16"/>
        <rFont val="Arial"/>
        <family val="2"/>
      </rPr>
      <t>void space seal</t>
    </r>
    <r>
      <rPr>
        <sz val="16"/>
        <rFont val="Arial"/>
        <family val="2"/>
      </rPr>
      <t>?</t>
    </r>
  </si>
  <si>
    <t>1610</t>
  </si>
  <si>
    <t>Cyber Risk Management</t>
  </si>
  <si>
    <t>1400.5</t>
  </si>
  <si>
    <t>1400.6</t>
  </si>
  <si>
    <t>s</t>
  </si>
  <si>
    <t>1610.1</t>
  </si>
  <si>
    <t>1610.4</t>
  </si>
  <si>
    <t>Does the cyber risk policy focus on elements such as third-party access and bring your own device (BYOD) in the office?</t>
  </si>
  <si>
    <t>1610.5</t>
  </si>
  <si>
    <t>Is evidence of an unannounced alcohol testing initiated by the office available on board? (Approved test equipment to be available on board)</t>
  </si>
  <si>
    <r>
      <t xml:space="preserve">Alternative to 1400.1 &amp; 1400.5: </t>
    </r>
    <r>
      <rPr>
        <sz val="16"/>
        <rFont val="Arial"/>
        <family val="2"/>
      </rPr>
      <t>In case crew members are not subject to shore-based drug and alcohol testing at least once in last 12 months, has the vessel been subjected to unannounced drug and alcohol testing at least twice in 12 months by an external organisation?</t>
    </r>
  </si>
  <si>
    <t>Is there a designated shipboard crew member on board appropriately trained to identify and respond to cyber threats to the ship's information and operational technology systems?</t>
  </si>
  <si>
    <t>Have all current crew members been subjected to shore-based drug and alcohol testing at least once in last 12 months?</t>
  </si>
  <si>
    <t>(Only applicable to new ships (ships contracted to build on or after 1st July 2014) of a gross tonnage of 1,600 and above.)</t>
  </si>
  <si>
    <t>1510</t>
  </si>
  <si>
    <t>Emergency Oil Recovery</t>
  </si>
  <si>
    <t>1510.1</t>
  </si>
  <si>
    <t>1510.2</t>
  </si>
  <si>
    <t>Is the vessel equipped with a system providing emergency access to cargo tanks and bunker tanks (for example, from the vessel deck), should the vessel be submerged?</t>
  </si>
  <si>
    <t>Does the ship carry an oil skimmer or a similar device that can be used in an emergency situation of oil spill overboard?</t>
  </si>
  <si>
    <t>1800</t>
  </si>
  <si>
    <t>Social Dimension / Sustainability</t>
  </si>
  <si>
    <t>1800.1</t>
  </si>
  <si>
    <t>1800.3</t>
  </si>
  <si>
    <t>1800.4</t>
  </si>
  <si>
    <t>1800.5</t>
  </si>
  <si>
    <t>1800.7</t>
  </si>
  <si>
    <t>1800.8</t>
  </si>
  <si>
    <t>1800.10</t>
  </si>
  <si>
    <t>1800.11</t>
  </si>
  <si>
    <t>A. Good Health &amp; Well-Being</t>
  </si>
  <si>
    <t>B. Reduced Inequalities / Equal Opportunities / Diversity</t>
  </si>
  <si>
    <t>B.1 General</t>
  </si>
  <si>
    <t>B.2 Gender-specific</t>
  </si>
  <si>
    <t>Does the vessel have an ITF or similar agreement in place?</t>
  </si>
  <si>
    <t>Is an electronic device available on board specifically to access digital platform (web or app) subscribed by the company for seeking medical advice?</t>
  </si>
  <si>
    <t>Has the shipboard staff been familiarized with platforms (online/offline) providing access to emotional support networks to tackle mental health issues?</t>
  </si>
  <si>
    <t>Have all ship board personnel been made aware of confidential reporting procedures to report harassment &amp; discrimination?</t>
  </si>
  <si>
    <t>Have steps been taken to create awareness among shipboard staff and to ensure effective implementation of policies focusing on subjects such as equal opportunities, equality and diversity, inclusion, anti-discrimination, anti-harassment, etc.?</t>
  </si>
  <si>
    <t>Does the vessel have women seafarer(s) working either as officers or ratings?</t>
  </si>
  <si>
    <t>Are samples of treated discharged effluent from the sewage treatment plant collected periodically (at least annually) for lab testing ashore to check the compliance with relevant MEPC standards?</t>
  </si>
  <si>
    <t>Is the ship in possession of the periodical sample testing report/certificate from a laboratory ashore confirming the compliance with the relevant MEPC standards?</t>
  </si>
  <si>
    <r>
      <t xml:space="preserve">Are </t>
    </r>
    <r>
      <rPr>
        <b/>
        <u/>
        <sz val="16"/>
        <rFont val="Arial"/>
        <family val="2"/>
      </rPr>
      <t>all</t>
    </r>
    <r>
      <rPr>
        <sz val="16"/>
        <rFont val="Arial"/>
        <family val="2"/>
      </rPr>
      <t xml:space="preserve"> fuel oil bunker tanks fitted with a high-high level alarm? </t>
    </r>
  </si>
  <si>
    <r>
      <t xml:space="preserve">Are overflow lines of </t>
    </r>
    <r>
      <rPr>
        <b/>
        <u/>
        <sz val="16"/>
        <rFont val="Arial"/>
        <family val="2"/>
      </rPr>
      <t>all</t>
    </r>
    <r>
      <rPr>
        <sz val="16"/>
        <rFont val="Arial"/>
        <family val="2"/>
      </rPr>
      <t xml:space="preserve"> fuel oil bunker tanks arranged with a flow alarm?</t>
    </r>
  </si>
  <si>
    <t>5821.17</t>
  </si>
  <si>
    <t>B. Soot Collection Tank arrangement</t>
  </si>
  <si>
    <t>C. Oily bilge water tank arrangement</t>
  </si>
  <si>
    <t>D. Oily water separator / Oil content meter</t>
  </si>
  <si>
    <t>Are engine room personnel familiarized with on board sludge and bilge water management procedures?</t>
  </si>
  <si>
    <t>Are engine room personnel familiar with the system layout, drawings and manuals?</t>
  </si>
  <si>
    <r>
      <t>A. Clean Drains (Drains that are</t>
    </r>
    <r>
      <rPr>
        <b/>
        <u/>
        <sz val="16"/>
        <color indexed="8"/>
        <rFont val="Arial"/>
        <family val="2"/>
      </rPr>
      <t xml:space="preserve"> normally not</t>
    </r>
    <r>
      <rPr>
        <b/>
        <sz val="16"/>
        <color indexed="8"/>
        <rFont val="Arial"/>
        <family val="2"/>
      </rPr>
      <t xml:space="preserve"> contaminated by oil)</t>
    </r>
  </si>
  <si>
    <t>Does the bilge water from the Clean drain tank (for the collection of "clean drains" As per MEPC.1/Circ.642) pass through 15 ppm oil content meter and alarm?</t>
  </si>
  <si>
    <t>5821.18</t>
  </si>
  <si>
    <t>Is soot separation / collection tank decanted, remaining water transferred to bilge holding tank and solid soot particles collected for garbage disposal (reception facility)?</t>
  </si>
  <si>
    <t>Is an independent pump arrangement available for the discharge from the Soot separation / collection tank to overboard?</t>
  </si>
  <si>
    <t>Is Oily bilge water from the Oily bilge water holding tank pumped through the Oily Water Separator to the Clean water tank (rather than overboard discharge)?</t>
  </si>
  <si>
    <r>
      <rPr>
        <b/>
        <u/>
        <sz val="16"/>
        <rFont val="Arial"/>
        <family val="2"/>
      </rPr>
      <t>N/A for vessels keel laid after 2005</t>
    </r>
    <r>
      <rPr>
        <sz val="16"/>
        <rFont val="Arial"/>
        <family val="2"/>
      </rPr>
      <t xml:space="preserve">
Is the oil content meter with an automatic stopping device capable of measuring the difference between emulsifying particles and oil installed , as per IMO resolution MEPC.107(49)?</t>
    </r>
  </si>
  <si>
    <t>Is there an equipment or a protection system (e.g. White Box) installed that stops the Oily Water Separator from discharging overboard when the Oil Content Meter is flushed/diluted with clean water to prevent illegal discharges of bilge water from machinery spaces?</t>
  </si>
  <si>
    <t>5821.16</t>
  </si>
  <si>
    <r>
      <rPr>
        <b/>
        <u/>
        <sz val="16"/>
        <rFont val="Arial"/>
        <family val="2"/>
      </rPr>
      <t>Alternative to 5821.15</t>
    </r>
    <r>
      <rPr>
        <sz val="16"/>
        <rFont val="Arial"/>
        <family val="2"/>
      </rPr>
      <t xml:space="preserve">
Is the ship equipped with a system which would ensure that operation and maintenance of the Oily Water Separator and Oil Content Meter can only be started with the Master's permission (for example, Main/Master Switch on bridge)?</t>
    </r>
  </si>
  <si>
    <r>
      <rPr>
        <b/>
        <u/>
        <sz val="16"/>
        <rFont val="Arial"/>
        <family val="2"/>
      </rPr>
      <t>N/A for vessels keel laid after 2005</t>
    </r>
    <r>
      <rPr>
        <sz val="16"/>
        <rFont val="Arial"/>
        <family val="2"/>
      </rPr>
      <t xml:space="preserve">
Is the Oily Water Separator equipped with a re-circulating facility for testing the device with the closed overboard discharge  (As per IMO resolution MEPC.107(49) 6.1.1.) ?</t>
    </r>
  </si>
  <si>
    <r>
      <t>Alternative to 5822.8 - 5822.10</t>
    </r>
    <r>
      <rPr>
        <sz val="16"/>
        <rFont val="Arial"/>
        <family val="2"/>
      </rPr>
      <t xml:space="preserve">
Is all the ship sludge always delivered to reception facilities?</t>
    </r>
  </si>
  <si>
    <t>Does the vessel have an "Inventory of Hazardous Materials" (Part I completed)?</t>
  </si>
  <si>
    <r>
      <t>Alternative to 5900.10:</t>
    </r>
    <r>
      <rPr>
        <sz val="16"/>
        <rFont val="Arial"/>
        <family val="2"/>
      </rPr>
      <t xml:space="preserve"> Has the process been started to prepare Part I of the "Inventory of Hazardous Materials" with a target completion date?</t>
    </r>
  </si>
  <si>
    <t>5430.7</t>
  </si>
  <si>
    <t>5430.8</t>
  </si>
  <si>
    <t>5430.9</t>
  </si>
  <si>
    <t>Does the ship have a Diesel Particulate Filter (DPF) for both main and auxiliary engines?</t>
  </si>
  <si>
    <t>Does the ship have a Diesel Oxidation Catalyst (DOC) for both main and auxiliary engines?</t>
  </si>
  <si>
    <t>Does the ship have an Electrostatic Precipitator (ESP) for both main and auxiliary engines?</t>
  </si>
  <si>
    <t>5410.10</t>
  </si>
  <si>
    <t>A. Emission Monitoring</t>
  </si>
  <si>
    <t>B. Emission Reduction</t>
  </si>
  <si>
    <t>Is an annual technical report made by the Company's superintendent?</t>
  </si>
  <si>
    <t>C. Additional Questions</t>
  </si>
  <si>
    <t>Exhaust Gas Recirculation (EGR)</t>
  </si>
  <si>
    <t>5410.22</t>
  </si>
  <si>
    <t>5410.24</t>
  </si>
  <si>
    <t>5410.26</t>
  </si>
  <si>
    <t>Selective Catalytic Reduction (SCR)</t>
  </si>
  <si>
    <t>SOx Emissions</t>
  </si>
  <si>
    <t>5420.11</t>
  </si>
  <si>
    <t>5420.12</t>
  </si>
  <si>
    <t>Exhaust Gas Cleaning System (EGCS)</t>
  </si>
  <si>
    <t>5420.13</t>
  </si>
  <si>
    <t>5420.14</t>
  </si>
  <si>
    <t>5420.20</t>
  </si>
  <si>
    <t>Does the ship use a continuous emission monitoring system (in-situ or extractive) for monitoring and recording SOx emissions?</t>
  </si>
  <si>
    <r>
      <rPr>
        <b/>
        <sz val="16"/>
        <rFont val="Arial"/>
        <family val="2"/>
      </rPr>
      <t>Main and auxiliary engines:</t>
    </r>
    <r>
      <rPr>
        <sz val="16"/>
        <rFont val="Arial"/>
        <family val="2"/>
      </rPr>
      <t xml:space="preserve">
Does the ship voluntarily burn low sulphur fuel (max. 0.10% sulphur) or use equivalent methodology during the ship's stay at every port?
</t>
    </r>
    <r>
      <rPr>
        <i/>
        <sz val="16"/>
        <rFont val="Arial"/>
        <family val="2"/>
      </rPr>
      <t>(If exhaust gas cleaning system is used, sulphur content is measured with SO2:CO2 ratio. Ratio of max 4.3 is equal to 0.10% sulphur content)</t>
    </r>
  </si>
  <si>
    <r>
      <t xml:space="preserve">Is the ship fitted with an EGC system which is tested, surveyed, certified and verified under the requirements of Scheme B* (continuous emission monitoring with parameter checks)?
</t>
    </r>
    <r>
      <rPr>
        <i/>
        <sz val="16"/>
        <rFont val="Arial"/>
        <family val="2"/>
      </rPr>
      <t>* Under scheme B, the SOx emissions compliance plan (SECP) should present how the continuous monitoring of ship exhaust gas emissions will demonstrate that the total SO2(ppm)/CO2(%) ratio is comparable to the requirements of 14.1 and/or 14.4 of MARPOL Annex 6.
* The ship should be in possession of EGC technical manual, scheme B (ETM-B).</t>
    </r>
  </si>
  <si>
    <t>5420.15</t>
  </si>
  <si>
    <t>5420.17</t>
  </si>
  <si>
    <t>5420.18</t>
  </si>
  <si>
    <t>5420.19</t>
  </si>
  <si>
    <r>
      <t xml:space="preserve">Does the ship communicate negative test results from the continuous monitoring of wash water discharge to the company?
</t>
    </r>
    <r>
      <rPr>
        <i/>
        <sz val="16"/>
        <rFont val="Arial"/>
        <family val="2"/>
      </rPr>
      <t>*The wash water discharge criteria have been set out in MEPC.259 (68).</t>
    </r>
  </si>
  <si>
    <r>
      <t xml:space="preserve">Is the treated wash water discharged from the EGC unit collected for sampling periodically and communication made to the company for the below parameters?
1.Heavy metals
2.Wash water additives
</t>
    </r>
    <r>
      <rPr>
        <i/>
        <sz val="16"/>
        <rFont val="Arial"/>
        <family val="2"/>
      </rPr>
      <t>*Above two are on top of the mandatory monitoring of pH, PaH, turbidity values set by IMO.</t>
    </r>
  </si>
  <si>
    <r>
      <rPr>
        <b/>
        <u/>
        <sz val="16"/>
        <rFont val="Arial"/>
        <family val="2"/>
      </rPr>
      <t>ALTERNATIVE TO 5420.18</t>
    </r>
    <r>
      <rPr>
        <sz val="16"/>
        <rFont val="Arial"/>
        <family val="2"/>
      </rPr>
      <t xml:space="preserve">
Does the ship have an EGC unit that is capable of operating both in open and closed-loop mode (hybrid)?</t>
    </r>
  </si>
  <si>
    <r>
      <t xml:space="preserve">Is the EGC unit capable of operating in zero discharge mode*?
</t>
    </r>
    <r>
      <rPr>
        <i/>
        <sz val="16"/>
        <rFont val="Arial"/>
        <family val="2"/>
      </rPr>
      <t>*Applicable only for vessels fitted with EGCS capable of operating in closed-loop mode.</t>
    </r>
  </si>
  <si>
    <t>Is appropriate PPE being used by the crew during handling of caustic soda which is used as an additive for closed-loop scrubbers?</t>
  </si>
  <si>
    <t>5410</t>
  </si>
  <si>
    <t>Does the ship use a continuous emission monitoring system (in-situ or extractive) for monitoring and recording NOx emissions?</t>
  </si>
  <si>
    <t>5410.11</t>
  </si>
  <si>
    <t>5410.12</t>
  </si>
  <si>
    <r>
      <t xml:space="preserve">Does the ship reach the NOx tier 2 limits on the </t>
    </r>
    <r>
      <rPr>
        <b/>
        <u/>
        <sz val="16"/>
        <rFont val="Arial"/>
        <family val="2"/>
      </rPr>
      <t>main engines</t>
    </r>
    <r>
      <rPr>
        <sz val="16"/>
        <rFont val="Arial"/>
        <family val="2"/>
      </rPr>
      <t>?</t>
    </r>
  </si>
  <si>
    <r>
      <t xml:space="preserve">Does the ship reach the NOx tier 2 limits on the </t>
    </r>
    <r>
      <rPr>
        <b/>
        <u/>
        <sz val="16"/>
        <rFont val="Arial"/>
        <family val="2"/>
      </rPr>
      <t>auxiliary engines</t>
    </r>
    <r>
      <rPr>
        <sz val="16"/>
        <rFont val="Arial"/>
        <family val="2"/>
      </rPr>
      <t>?</t>
    </r>
  </si>
  <si>
    <t>For ships keel laid between 01-01-2000 and 31-12-2010 (Tier I mandatory ships)</t>
  </si>
  <si>
    <t>For ships keel laid on / after 01-01-2011 (5410.13 - 5410.18)</t>
  </si>
  <si>
    <t>5410.13</t>
  </si>
  <si>
    <t>5410.15</t>
  </si>
  <si>
    <t>5410.17</t>
  </si>
  <si>
    <t>5410.14</t>
  </si>
  <si>
    <t>5410.16</t>
  </si>
  <si>
    <t>5410.18</t>
  </si>
  <si>
    <r>
      <t xml:space="preserve">Does the ship communicate negative test results from the continuous monitoring of exhaust gas recirculation bleed-off discharge water to the company?
</t>
    </r>
    <r>
      <rPr>
        <i/>
        <sz val="16"/>
        <rFont val="Arial"/>
        <family val="2"/>
      </rPr>
      <t>* The guidelines set out in MEPC.259 (68) are applicable to EGR bleed-off discharge water as well.</t>
    </r>
  </si>
  <si>
    <t>5410.23</t>
  </si>
  <si>
    <r>
      <t xml:space="preserve">Is the treated wash water discharged from the EGR unit as bleed-off water collected for sampling periodically 
and communicated communication made to the company for the below parameters?
1. Heavy metals
2. Wash water additives.
</t>
    </r>
    <r>
      <rPr>
        <i/>
        <sz val="16"/>
        <rFont val="Arial"/>
        <family val="2"/>
      </rPr>
      <t>*Above two values are on top of the mandatory monitoring of pH, PAH, turbidity values set by IMO.</t>
    </r>
  </si>
  <si>
    <t>Is appropriate PPE being used by the crew during the handling of caustic soda which is used as an additive for EGR?</t>
  </si>
  <si>
    <t>Does the shipboard crew monitor the catalyst condition continuously to make sure injected urea is fully utilized to avoid ammonia slip?</t>
  </si>
  <si>
    <r>
      <t xml:space="preserve">Does the ship reach NOx emissions 15% below the tier 2 limits on their </t>
    </r>
    <r>
      <rPr>
        <b/>
        <u/>
        <sz val="16"/>
        <rFont val="Arial"/>
        <family val="2"/>
      </rPr>
      <t>main engine</t>
    </r>
    <r>
      <rPr>
        <sz val="16"/>
        <rFont val="Arial"/>
        <family val="2"/>
      </rPr>
      <t>?</t>
    </r>
  </si>
  <si>
    <r>
      <t xml:space="preserve">Does the ship reach NOx emissions 15% below the tier 2 limits on their </t>
    </r>
    <r>
      <rPr>
        <b/>
        <u/>
        <sz val="16"/>
        <rFont val="Arial"/>
        <family val="2"/>
      </rPr>
      <t>auxiliary engine</t>
    </r>
    <r>
      <rPr>
        <sz val="16"/>
        <rFont val="Arial"/>
        <family val="2"/>
      </rPr>
      <t>?</t>
    </r>
  </si>
  <si>
    <r>
      <rPr>
        <b/>
        <u/>
        <sz val="16"/>
        <rFont val="Arial"/>
        <family val="2"/>
      </rPr>
      <t>ALTERNATIVE 1 to 5410.13</t>
    </r>
    <r>
      <rPr>
        <sz val="16"/>
        <rFont val="Arial"/>
        <family val="2"/>
      </rPr>
      <t xml:space="preserve">
Does the ship reach NOx emissions 30% below the tier 2 limits on their </t>
    </r>
    <r>
      <rPr>
        <b/>
        <u/>
        <sz val="16"/>
        <rFont val="Arial"/>
        <family val="2"/>
      </rPr>
      <t>main engine</t>
    </r>
    <r>
      <rPr>
        <sz val="16"/>
        <rFont val="Arial"/>
        <family val="2"/>
      </rPr>
      <t>?</t>
    </r>
  </si>
  <si>
    <r>
      <rPr>
        <b/>
        <u/>
        <sz val="16"/>
        <rFont val="Arial"/>
        <family val="2"/>
      </rPr>
      <t>ALTERNATIVE 2 to 5410.13</t>
    </r>
    <r>
      <rPr>
        <sz val="16"/>
        <rFont val="Arial"/>
        <family val="2"/>
      </rPr>
      <t xml:space="preserve">
Does the ship reach NOx emissions 50% below the tier 2 limits on their </t>
    </r>
    <r>
      <rPr>
        <b/>
        <u/>
        <sz val="16"/>
        <rFont val="Arial"/>
        <family val="2"/>
      </rPr>
      <t>main engine</t>
    </r>
    <r>
      <rPr>
        <sz val="16"/>
        <rFont val="Arial"/>
        <family val="2"/>
      </rPr>
      <t>?</t>
    </r>
  </si>
  <si>
    <r>
      <rPr>
        <b/>
        <u/>
        <sz val="16"/>
        <rFont val="Arial"/>
        <family val="2"/>
      </rPr>
      <t>ALTERNATIVE 1 to 5410.14</t>
    </r>
    <r>
      <rPr>
        <sz val="16"/>
        <rFont val="Arial"/>
        <family val="2"/>
      </rPr>
      <t xml:space="preserve">
Does the ship reach NOx emissions 30% below the tier 2 limits on their </t>
    </r>
    <r>
      <rPr>
        <b/>
        <u/>
        <sz val="16"/>
        <rFont val="Arial"/>
        <family val="2"/>
      </rPr>
      <t>auxiliary engine</t>
    </r>
    <r>
      <rPr>
        <sz val="16"/>
        <rFont val="Arial"/>
        <family val="2"/>
      </rPr>
      <t>?</t>
    </r>
  </si>
  <si>
    <r>
      <rPr>
        <b/>
        <u/>
        <sz val="16"/>
        <rFont val="Arial"/>
        <family val="2"/>
      </rPr>
      <t>ALTERNATIVE 2 to 5410.14</t>
    </r>
    <r>
      <rPr>
        <sz val="16"/>
        <rFont val="Arial"/>
        <family val="2"/>
      </rPr>
      <t xml:space="preserve">
Does the ship reach NOx emissions 50% below the tier 2 limits on their </t>
    </r>
    <r>
      <rPr>
        <b/>
        <u/>
        <sz val="16"/>
        <rFont val="Arial"/>
        <family val="2"/>
      </rPr>
      <t>auxiliary engine</t>
    </r>
    <r>
      <rPr>
        <sz val="16"/>
        <rFont val="Arial"/>
        <family val="2"/>
      </rPr>
      <t>?</t>
    </r>
  </si>
  <si>
    <t>5440.10</t>
  </si>
  <si>
    <t>5440.14</t>
  </si>
  <si>
    <t>5440.15</t>
  </si>
  <si>
    <t>Measures related to Machinery</t>
  </si>
  <si>
    <t>Measures related to Propulsion and Hull Improvements</t>
  </si>
  <si>
    <t>Measures related to Energy Consumers</t>
  </si>
  <si>
    <t>Measures related to Energy Recovery</t>
  </si>
  <si>
    <t>Low carbon fuels</t>
  </si>
  <si>
    <t>5440.18</t>
  </si>
  <si>
    <t>Bio-diesel</t>
  </si>
  <si>
    <t>Bio-LNG (Bio-methane)</t>
  </si>
  <si>
    <t>Methanol</t>
  </si>
  <si>
    <t>Ethanol</t>
  </si>
  <si>
    <t>Dimethyl Ether</t>
  </si>
  <si>
    <t>5440.19</t>
  </si>
  <si>
    <t>5440.20</t>
  </si>
  <si>
    <t>5440.21</t>
  </si>
  <si>
    <t>Zero carbon fuels</t>
  </si>
  <si>
    <t>Anhydrous Ammonia</t>
  </si>
  <si>
    <t>Hydrogen</t>
  </si>
  <si>
    <t>Fuel Cells (Powered by ammonia or hydrogen)</t>
  </si>
  <si>
    <t>Batteries</t>
  </si>
  <si>
    <t>Nuclear</t>
  </si>
  <si>
    <t>5440.22</t>
  </si>
  <si>
    <t>Renewable Energy source</t>
  </si>
  <si>
    <t>Solar</t>
  </si>
  <si>
    <t>Does the ship use flow meters for monitoring and recording of fuel consumption? (Flow meter is to be calibrated and certified by for example a classification society)</t>
  </si>
  <si>
    <t>5440.11</t>
  </si>
  <si>
    <r>
      <rPr>
        <u/>
        <sz val="16"/>
        <rFont val="Arial"/>
        <family val="2"/>
      </rPr>
      <t xml:space="preserve">Applicable to ships contracted for building on or after 1st January 2013, or delivered on or after 1st July 2015: </t>
    </r>
    <r>
      <rPr>
        <sz val="16"/>
        <rFont val="Arial"/>
        <family val="2"/>
      </rPr>
      <t xml:space="preserve">
Is the "attained EEDI" data for the ship available onboard?</t>
    </r>
  </si>
  <si>
    <t>Attained EEDI of the ship =</t>
  </si>
  <si>
    <t>Does the ship use a ship performance monitoring software to monitor and reduce energy consumption by operational measures on-board?</t>
  </si>
  <si>
    <t>(Design and operational based measures)
Energy efficiency measures implemented on-board the vessel?</t>
  </si>
  <si>
    <t>LNG (Liquefied Natural Gas)</t>
  </si>
  <si>
    <t>LPG (Liquefied Petroleum Gas)</t>
  </si>
  <si>
    <t>GTL (Gas to liquid fuel)</t>
  </si>
  <si>
    <t>Measures related to Technical Solutions for optimizing the operations</t>
  </si>
  <si>
    <t>Does the ship use renewable energy sources for energy production such as:</t>
  </si>
  <si>
    <t>5440.23</t>
  </si>
  <si>
    <t>Have shipboard personnel received training for energy efficiency measures and related monitoring systems on board?</t>
  </si>
  <si>
    <t>Do all shipboard personnel have access to the internet at all times?</t>
  </si>
  <si>
    <r>
      <t>DATA FROM "</t>
    </r>
    <r>
      <rPr>
        <b/>
        <sz val="12"/>
        <color theme="1"/>
        <rFont val="Arial"/>
        <family val="2"/>
      </rPr>
      <t xml:space="preserve">SUPPLEMENT TO </t>
    </r>
    <r>
      <rPr>
        <b/>
        <u/>
        <sz val="12"/>
        <color theme="1"/>
        <rFont val="Arial"/>
        <family val="2"/>
      </rPr>
      <t>ENGINE</t>
    </r>
    <r>
      <rPr>
        <b/>
        <sz val="12"/>
        <color theme="1"/>
        <rFont val="Arial"/>
        <family val="2"/>
      </rPr>
      <t xml:space="preserve"> INTERNATIONAL AIR POLLUTION PREVENTION CERTIFICATE -- RECORD OF CONSTRUCTION, TECHNICAL FILE, AND MEANS OF VERIFICATION</t>
    </r>
    <r>
      <rPr>
        <sz val="12"/>
        <color theme="1"/>
        <rFont val="Arial"/>
        <family val="2"/>
      </rPr>
      <t>"</t>
    </r>
  </si>
  <si>
    <t>Keel Laid (DD/MM/YYYY) (available on supplement to IAPP certificate)</t>
  </si>
  <si>
    <t>MAIN</t>
  </si>
  <si>
    <t>TIER</t>
  </si>
  <si>
    <t>AUXILIARY</t>
  </si>
  <si>
    <t>OTHER</t>
  </si>
  <si>
    <t>MAIN ENGINE 1</t>
  </si>
  <si>
    <t>RPM</t>
  </si>
  <si>
    <t>Tier 1</t>
  </si>
  <si>
    <t>Tier 2</t>
  </si>
  <si>
    <t>Tier 3</t>
  </si>
  <si>
    <t>Applicable NOx emission limit (g/kWh)</t>
  </si>
  <si>
    <t>Engine's actual NOx emission value (g/kWh)</t>
  </si>
  <si>
    <t>Percentage reduction</t>
  </si>
  <si>
    <t>GA Compliance</t>
  </si>
  <si>
    <t>MAIN ENGINE 2</t>
  </si>
  <si>
    <t>AUXILIARY ENGINE 1</t>
  </si>
  <si>
    <t>AUXILIARY ENGINE 2</t>
  </si>
  <si>
    <t>AUXILIARY ENGINE 3</t>
  </si>
  <si>
    <t>AUXILIARY ENGINE 4</t>
  </si>
  <si>
    <t>OTHER ENGINE</t>
  </si>
  <si>
    <t>Is the ship equipped with the following specific facilities for women seafarers:
– feminine hygiene items (in bonded stores) &amp; separate disposal facilities
– separate washrooms with sanitary facilities
– suitable sized (gender specific) safety and protective clothing
– access to medical supplies without having to consult male colleagues</t>
  </si>
  <si>
    <t>Does the engine room logbook logs discharges from the Clean drain tank (tank used for the collection of "clean drains", as per MEPC.1/Circ.642)?</t>
  </si>
  <si>
    <r>
      <t xml:space="preserve">Does the ship have an EGC unit that is capable of operating </t>
    </r>
    <r>
      <rPr>
        <b/>
        <u/>
        <sz val="16"/>
        <rFont val="Arial"/>
        <family val="2"/>
      </rPr>
      <t>only</t>
    </r>
    <r>
      <rPr>
        <sz val="16"/>
        <rFont val="Arial"/>
        <family val="2"/>
      </rPr>
      <t xml:space="preserve"> in closed-loop mode?</t>
    </r>
  </si>
  <si>
    <t>SUPPLEMENT TO 5410 - NOx EMISSIONS</t>
  </si>
  <si>
    <t>Questions applicable (from 5410.11 - 5410.18)</t>
  </si>
  <si>
    <t>ENERGY EFFICIENCY TECHNOLOGIES INFORMATION PORTAL</t>
  </si>
  <si>
    <t>TECHNOLOGY GROUPS</t>
  </si>
  <si>
    <t>MACHINERY TECHNOLOGIES</t>
  </si>
  <si>
    <t>This technology group includes measures that improve the energy efficiency of main and auxiliary engines. These include measures such as auxiliary systems optimization, optimizing heat exchangers, waste heat recovery systems, electronic auto-tuning, batteries and other solutions.</t>
  </si>
  <si>
    <t>Y?</t>
  </si>
  <si>
    <t>NAME</t>
  </si>
  <si>
    <t>FUNCTION</t>
  </si>
  <si>
    <t>TECHNICAL MATURITY*</t>
  </si>
  <si>
    <t>APPLICABILITY</t>
  </si>
  <si>
    <t>Auxiliary systems optimization</t>
  </si>
  <si>
    <t>Optimizing auxiliary systems to actual operational profiles, not design conditions</t>
  </si>
  <si>
    <t>Semi-mature</t>
  </si>
  <si>
    <t>All vessels</t>
  </si>
  <si>
    <t>Engine de-rating</t>
  </si>
  <si>
    <t>De-rating an engine for reduction of the vessel's maximum speed to increase its efficiency by limiting the potential power output</t>
  </si>
  <si>
    <t>Vessels sailing 10-15% slower than design speed</t>
  </si>
  <si>
    <t>Engine performance optimization (automatic)</t>
  </si>
  <si>
    <t>Automatic increase of engine efficiency through testing and tuning according to actual operational load and conditions</t>
  </si>
  <si>
    <t>Mainly for two stroke engines</t>
  </si>
  <si>
    <t>Engine performance optimization (manual)</t>
  </si>
  <si>
    <t>Manual increase of engine efficiency through testing and tuning according to actual operational load and conditions</t>
  </si>
  <si>
    <t>Mature</t>
  </si>
  <si>
    <t>Exhaust gas boilers on auxiliary engines</t>
  </si>
  <si>
    <t>Exhaust gas boilers recover the heat from the exhaust gas of auxiliary engines to generate steam, hot water or heat for process heating</t>
  </si>
  <si>
    <t>Vessels without shaft generator</t>
  </si>
  <si>
    <t>Hybridization (plug-in or conventional)</t>
  </si>
  <si>
    <t>Use of electricity to replace various modes of power consumption</t>
  </si>
  <si>
    <t>Vessels with large fluctuations in power output (ferries, offshore vessels, tugs)</t>
  </si>
  <si>
    <t>Improved auxiliary engine load</t>
  </si>
  <si>
    <t>Increase of the auxiliary engines' load and efficiency by reducing the number of auxiliary engines running</t>
  </si>
  <si>
    <t>Shaft generator</t>
  </si>
  <si>
    <t>Produce electricity from the main propulsion engine</t>
  </si>
  <si>
    <t>All vessels with high power needs and long transits</t>
  </si>
  <si>
    <t>Shore power</t>
  </si>
  <si>
    <t>Use of cold ironing in ports to reduce fuel consumption on power producing engines</t>
  </si>
  <si>
    <t>For smaller vessels and in ports with developed solutions for larger vessels</t>
  </si>
  <si>
    <t>Steam plant operation improvement</t>
  </si>
  <si>
    <t>Improve operations and maintenance of steam plant system saving fuel on oil fired boiler</t>
  </si>
  <si>
    <t>Mainly crude and product tankers</t>
  </si>
  <si>
    <t>Waste heat recovery systems</t>
  </si>
  <si>
    <t>Recover thermal energy from the exhaust gas and convert it into electrical energy</t>
  </si>
  <si>
    <t>All vessels with engines above 10 MW</t>
  </si>
  <si>
    <t>PROPULSION AND HULL IMPROVEMENTS</t>
  </si>
  <si>
    <t>Technologies in this group focus on improving the hydrodynamic performance of the vessel. This includes solutions that reduce the resistance of the vessel and/or also improve the propulsive efficiency of the vessel. Examples include measures such as propeller polishing, hull cleaning, PIDs (Propulsion Improving Devices), air lubrication and more.</t>
  </si>
  <si>
    <t>Air cavity lubrication</t>
  </si>
  <si>
    <t>Use of air injection on the wetted hull surfaces to improve a ship’s hydrodynamic performance</t>
  </si>
  <si>
    <t>Most vessels in deep sea trade</t>
  </si>
  <si>
    <t>Hull cleaning</t>
  </si>
  <si>
    <t>Removal of fouling on the hull to increase the vessel's hydrodynamic performance</t>
  </si>
  <si>
    <t>Hull coating</t>
  </si>
  <si>
    <t>Reduction of the hull's resistance through water</t>
  </si>
  <si>
    <t>Hull form optimization</t>
  </si>
  <si>
    <t>Optimizing the hull for lower resistance through water</t>
  </si>
  <si>
    <t>Hull retrofitting</t>
  </si>
  <si>
    <t>Retrofitting of the bulbous bow, optimizing thruster tunnels or bilge keel to reduce resistance</t>
  </si>
  <si>
    <t>Propeller polishing</t>
  </si>
  <si>
    <t>Removal of fouling on the propeller</t>
  </si>
  <si>
    <t>Propeller retrofitting</t>
  </si>
  <si>
    <t>Retrofitting the propeller to increase efficiency</t>
  </si>
  <si>
    <t>Propulsion Improving Devices (PIDs)</t>
  </si>
  <si>
    <t>Installation of propulsion improving devices</t>
  </si>
  <si>
    <t>ENERGY CONSUMERS</t>
  </si>
  <si>
    <t>Consumers are equipment or devices that use energy when operated. Technologies in this group focus on minimizing the energy consumption by improving the device or optimizing the utilization of the device. Examples of measures in this group are frequency controllers, cargo handling systems, low energy lighting and more.</t>
  </si>
  <si>
    <t>Cargo handling systems (Cargo discharge operation)</t>
  </si>
  <si>
    <t>Reduction of energy consumption while discharging crude oil by use of model-based studies of the discharge operation</t>
  </si>
  <si>
    <t>Tankers</t>
  </si>
  <si>
    <t>Energy efficient lighting system</t>
  </si>
  <si>
    <t>Use of energy efficient lighting equipment, such as LED light, to increase efficiency and remove heat loss from light devices</t>
  </si>
  <si>
    <t>Frequency controlled electric motors</t>
  </si>
  <si>
    <t>Regulating the frequency of the motors in order to adapt the motor optimized load</t>
  </si>
  <si>
    <t>ENERGY RECOVERY</t>
  </si>
  <si>
    <t>Technologies in this group focus on capturing energy from the surroundings of the vessel and using or transforming this to useful energy for the vessel. This involves measures such as application of kites, fixed sails or wings, Flettner rotors, or solar panels.</t>
  </si>
  <si>
    <t>Fixed sails or wings</t>
  </si>
  <si>
    <t>Use sails or wings to replace some of the propulsion power needed</t>
  </si>
  <si>
    <t>Not mature</t>
  </si>
  <si>
    <t>Vessels with enough place on deck (general cargo, tankers, bulkers)</t>
  </si>
  <si>
    <t>Flettner rotors</t>
  </si>
  <si>
    <t>Use Flettner rotors to generate power from wind energy</t>
  </si>
  <si>
    <t>Dependent on trading area and sufficient free deck-surface</t>
  </si>
  <si>
    <t>Kite</t>
  </si>
  <si>
    <t>Use a kite to replace some of the propulsion power needed</t>
  </si>
  <si>
    <t>Solar panels</t>
  </si>
  <si>
    <t>Install solar panels for conversion of solar energy to electricity</t>
  </si>
  <si>
    <t>TECHNICAL SOLUTIONS FOR OPTIMIZING OPERATION</t>
  </si>
  <si>
    <t>Technologies in this group focus on improving the operation of the vessel more than improving the vessel itself. The list of suggested measures includes both technologies and suggestions for best practice (without direct application of a technology). Measures in this group include trim and draft optimization, speed management, autopilot adjustment and use, combinator optimizing, and others.</t>
  </si>
  <si>
    <t>Autopilot adjustment and use</t>
  </si>
  <si>
    <t>Use of an automatic system to control the vessel's rudder in a more energy efficient manner</t>
  </si>
  <si>
    <t>Combinator optimizing</t>
  </si>
  <si>
    <t>Use of optimized pitch settings and propeller speed for optimized efficiency of propulsion system</t>
  </si>
  <si>
    <t>For vessels with controllable pitch propeller</t>
  </si>
  <si>
    <t>Efficient DP Operation</t>
  </si>
  <si>
    <t>Optimize the operation in DP mode</t>
  </si>
  <si>
    <t>Vessels with DP mode</t>
  </si>
  <si>
    <t>Speed management</t>
  </si>
  <si>
    <t>Management of the vessel's speed in the most efficient manner</t>
  </si>
  <si>
    <t>Trim and draft optimization</t>
  </si>
  <si>
    <t>Optimizing the trim and draft to reduce the vessel's water resistance</t>
  </si>
  <si>
    <t>Weather routing</t>
  </si>
  <si>
    <t>Including weather conditions when planning a voyage</t>
  </si>
  <si>
    <t>Definitions of maturity levels according to uptake across the maritime industry, and degree of proven technology/principle</t>
  </si>
  <si>
    <t>Proven, new or existing technology/principle, with high uptake across the industry.</t>
  </si>
  <si>
    <t>Proven, new or existing technology/principle, but with limited uptake across the industry.</t>
  </si>
  <si>
    <t>New unproven-, unproven existing- , or proven existing technology/principle but with very few installations and little to no operational experience.</t>
  </si>
  <si>
    <t xml:space="preserve">*This Information Portal is still under development and further images will be added. </t>
  </si>
  <si>
    <t>This Energy Efficiency Technologies Information Portal was developed in cooperation with DNV GL.</t>
  </si>
  <si>
    <t>This webpage serves as an Information Portal for Energy Efficiency Technologies for Ships. IMO does not make any warranties or representations as to the accuracy or completeness of the information provided.</t>
  </si>
  <si>
    <t>View disclaimer</t>
  </si>
  <si>
    <t>SUPPLEMENT TO 5440 GHG EMISSIONS - CO2</t>
  </si>
  <si>
    <t>IMO GLOMEEP Website</t>
  </si>
  <si>
    <t>Other: *fill during survey*</t>
  </si>
  <si>
    <t>If Other=</t>
  </si>
  <si>
    <t>Wind: *fill during survey*</t>
  </si>
  <si>
    <t>Wind=</t>
  </si>
  <si>
    <t>If YES, choose from below options</t>
  </si>
  <si>
    <r>
      <t>If YES, choose from below options and fill-in supplement CO</t>
    </r>
    <r>
      <rPr>
        <b/>
        <vertAlign val="subscript"/>
        <sz val="16"/>
        <rFont val="Arial"/>
        <family val="2"/>
      </rPr>
      <t>2</t>
    </r>
    <r>
      <rPr>
        <b/>
        <sz val="16"/>
        <rFont val="Arial"/>
        <family val="2"/>
      </rPr>
      <t xml:space="preserve"> - GloMEEP tab</t>
    </r>
  </si>
  <si>
    <r>
      <t>Short term goals (CO</t>
    </r>
    <r>
      <rPr>
        <b/>
        <vertAlign val="subscript"/>
        <sz val="16"/>
        <rFont val="Arial"/>
        <family val="2"/>
      </rPr>
      <t>2</t>
    </r>
    <r>
      <rPr>
        <b/>
        <sz val="16"/>
        <rFont val="Arial"/>
        <family val="2"/>
      </rPr>
      <t xml:space="preserve"> reduction through energy efficiency measures)</t>
    </r>
  </si>
  <si>
    <r>
      <t>Mid term goals (CO</t>
    </r>
    <r>
      <rPr>
        <b/>
        <vertAlign val="subscript"/>
        <sz val="16"/>
        <rFont val="Arial"/>
        <family val="2"/>
      </rPr>
      <t>2</t>
    </r>
    <r>
      <rPr>
        <b/>
        <sz val="16"/>
        <rFont val="Arial"/>
        <family val="2"/>
      </rPr>
      <t xml:space="preserve"> reduction through the use of low carbon fuels)</t>
    </r>
  </si>
  <si>
    <r>
      <t>Long term goals (CO</t>
    </r>
    <r>
      <rPr>
        <b/>
        <vertAlign val="subscript"/>
        <sz val="16"/>
        <rFont val="Arial"/>
        <family val="2"/>
      </rPr>
      <t>2</t>
    </r>
    <r>
      <rPr>
        <b/>
        <sz val="16"/>
        <rFont val="Arial"/>
        <family val="2"/>
      </rPr>
      <t xml:space="preserve"> neutral operation through zero carbon fuels)</t>
    </r>
  </si>
  <si>
    <t>For ease of use, measures are grouped according to the GLOMEEP Energy efficiency technologies information portal.</t>
  </si>
  <si>
    <r>
      <t>Greenhouse Gas (GHG) Emissions - CO</t>
    </r>
    <r>
      <rPr>
        <b/>
        <vertAlign val="subscript"/>
        <sz val="16"/>
        <rFont val="Arial"/>
        <family val="2"/>
      </rPr>
      <t>2</t>
    </r>
    <r>
      <rPr>
        <b/>
        <sz val="16"/>
        <rFont val="Arial"/>
        <family val="2"/>
      </rPr>
      <t xml:space="preserve"> Emissions</t>
    </r>
  </si>
  <si>
    <r>
      <t xml:space="preserve">Are </t>
    </r>
    <r>
      <rPr>
        <b/>
        <u/>
        <sz val="16"/>
        <rFont val="Arial"/>
        <family val="2"/>
      </rPr>
      <t>all</t>
    </r>
    <r>
      <rPr>
        <sz val="16"/>
        <rFont val="Arial"/>
        <family val="2"/>
      </rPr>
      <t xml:space="preserve"> fuel oil bunker tanks fitted with an overflow line that is connected to an overflow tank?</t>
    </r>
  </si>
  <si>
    <r>
      <rPr>
        <b/>
        <sz val="12"/>
        <rFont val="Arial"/>
        <family val="2"/>
      </rPr>
      <t>NA</t>
    </r>
    <r>
      <rPr>
        <b/>
        <sz val="12"/>
        <rFont val="Wingdings"/>
        <charset val="2"/>
      </rPr>
      <t>à</t>
    </r>
  </si>
  <si>
    <t>9421</t>
  </si>
  <si>
    <t>ISO Certification</t>
  </si>
  <si>
    <t>9421.1</t>
  </si>
  <si>
    <t>9421.2</t>
  </si>
  <si>
    <t>9421.3</t>
  </si>
  <si>
    <t>9421.4</t>
  </si>
  <si>
    <t>9421.5</t>
  </si>
  <si>
    <t>9421.6</t>
  </si>
  <si>
    <t>9421.7</t>
  </si>
  <si>
    <t>9421.8</t>
  </si>
  <si>
    <t>Has the vessel been subjected to unannounced drug and alcohol testing at least once every year (not exceeding 18 months between two consecutive tests) by an external organisation?</t>
  </si>
  <si>
    <t>Is the ship certified for the latest edition of ISO 9001 (quality management systems)?</t>
  </si>
  <si>
    <t>Is the ship certified for the latest edition of ISO 14001 (environmental management systems)?</t>
  </si>
  <si>
    <t>Is the ship certified for the latest edition of ISO 22301 (societal security – business continuity management systems)?</t>
  </si>
  <si>
    <t>Is the ship certified for the latest edition of ISO 27001 (information security management systems)?</t>
  </si>
  <si>
    <t>Is the ship certified for the latest edition of ISO 45001 (occupational health and safety management systems)?</t>
  </si>
  <si>
    <t>Is the ship certified for the latest edition of ISO 50001 (energy management systems)?</t>
  </si>
  <si>
    <t>3101</t>
  </si>
  <si>
    <t>Bunker Operations - LNG</t>
  </si>
  <si>
    <t>3101.1</t>
  </si>
  <si>
    <t>3101.2</t>
  </si>
  <si>
    <t>3101.3</t>
  </si>
  <si>
    <t>3101.4</t>
  </si>
  <si>
    <t>3101.5</t>
  </si>
  <si>
    <t>3101.6</t>
  </si>
  <si>
    <t>Is the ship mandated to use only a relevant IAPH LNG bunkering checklist - either by company SMS or by instructions from charterer / port authority?</t>
  </si>
  <si>
    <t>Do shipboard personnel make use of LNG specific PPEs such as protective cryogenic gloves and safety goggles with side protection during LNG bunkering operations?</t>
  </si>
  <si>
    <t>Are ship's LNG bunker stations equipped with CCTV for the purpose of observing the bunkering operation from the bridge or operation control room?</t>
  </si>
  <si>
    <t>Does the ship use thermal imaging camera/equipment for leakage detection of LNG during bunkering?</t>
  </si>
  <si>
    <t>Have relevant shipboard personnel completed a shore-based training on LNG bunkering?</t>
  </si>
  <si>
    <t>Does the vessel have a ship specific garbage management plan detailing the specific ship's equipment, arrangements and procedures for the handling of garbage?</t>
  </si>
  <si>
    <t>1610.8</t>
  </si>
  <si>
    <t>1610.9</t>
  </si>
  <si>
    <t>1610.12</t>
  </si>
  <si>
    <t>Is shipboard crew aware of plans and procedures of cyber risk management (as described in SMS) and their implementation on board?</t>
  </si>
  <si>
    <t>Does the vessel undergo cyber risk assessment (at an interval deemed suitable by the company) by means of either of the following:
- self-assessment followed by third party risk assessment
- penetration tests of critical IT and OT infrastructure performed by external experts simulating cyber attacks?</t>
  </si>
  <si>
    <t>Are on-board systems forbidden to be remotely accessed by technicians and manufacturers without authorization by the vessel’s senior leadership team (For example, by following a two-step digital authorization process)?</t>
  </si>
  <si>
    <t>Fuel oil management</t>
  </si>
  <si>
    <t>3200.19</t>
  </si>
  <si>
    <t>D. Additional questions</t>
  </si>
  <si>
    <t>3200.18</t>
  </si>
  <si>
    <t>3200.17</t>
  </si>
  <si>
    <t>C. Operational procedures</t>
  </si>
  <si>
    <t>B.3 Testing</t>
  </si>
  <si>
    <t>3200.16</t>
  </si>
  <si>
    <t>B.2 In-use fuel oil sampling</t>
  </si>
  <si>
    <t>B.1 MARPOL delivered fuel oil sampling</t>
  </si>
  <si>
    <t>Are the copies of valid certificate of quality (COQ) and associated laboratory analysis reports for the recently bunkered fuel oil available on board?</t>
  </si>
  <si>
    <r>
      <t xml:space="preserve">For the situations where commingling of two different fuels is unavoidable, does the relevant ship crew implement the company prescribed </t>
    </r>
    <r>
      <rPr>
        <b/>
        <u/>
        <sz val="16"/>
        <rFont val="Arial"/>
        <family val="2"/>
      </rPr>
      <t>commingling procedure</t>
    </r>
    <r>
      <rPr>
        <sz val="16"/>
        <rFont val="Arial"/>
        <family val="2"/>
      </rPr>
      <t xml:space="preserve"> to determine the compatibility of two bunkers (including the reference test methods)?</t>
    </r>
  </si>
  <si>
    <r>
      <t xml:space="preserve">Is bunkered fuel oil </t>
    </r>
    <r>
      <rPr>
        <b/>
        <u/>
        <sz val="16"/>
        <rFont val="Arial"/>
        <family val="2"/>
      </rPr>
      <t>always</t>
    </r>
    <r>
      <rPr>
        <sz val="16"/>
        <rFont val="Arial"/>
        <family val="2"/>
      </rPr>
      <t xml:space="preserve"> tested (before use onboard) by a recognized fuel analysis organization ashore in accordance with the requirements of ISO 8217 standard?</t>
    </r>
  </si>
  <si>
    <t>B.Sampling &amp; Testing</t>
  </si>
  <si>
    <t>Is all fuel oil sampling (during bunkering) carried out using an automatic sampler (time or flow proportional) in accordance with MARPOL Annex VI?</t>
  </si>
  <si>
    <t>5801.4</t>
  </si>
  <si>
    <t>Is the ship’s hull and/or fuel tanks are built of advanced shipbuilding plates (highly ductile steel) or structural features (for example, sandwich plate structure)?</t>
  </si>
  <si>
    <t>Protection of fuel oil tanks, lube oil tanks and hull</t>
  </si>
  <si>
    <t>A. General - managing work/rest hours</t>
  </si>
  <si>
    <t>B. Fatigue management</t>
  </si>
  <si>
    <t>7500.9</t>
  </si>
  <si>
    <t>Does the fatigue mitigation and control strategy consist of the following (both):
- framework to assess the hazards associated with fatigue (hazard assessment)
- strategies to mitigate the risk of fatigue (risk mitigation)</t>
  </si>
  <si>
    <t>7500.10</t>
  </si>
  <si>
    <t>7500.11</t>
  </si>
  <si>
    <t>C. Additional questions - reporting, training &amp; awareness</t>
  </si>
  <si>
    <t>Are work/rest hours performed by the individual seafarer recorded  with the use of a software programme and the reports generated accessible for the office?</t>
  </si>
  <si>
    <t>Does the ship have fatigue mitigation and control strategy (or similar document) available within the Safety Management System (SMS) to ensure the health and well being of the seafarers?</t>
  </si>
  <si>
    <t>Does the Master implement the use of any one of the following fatigue management tools (as described in IMO MSC.1/Circ1598) by shipboard crew on board:
- Sleep Diary
- Self-monitoring through fatigue and sleepiness ratings
- Fatigue self-assessment tool
- Fatigue event reporting</t>
  </si>
  <si>
    <r>
      <t xml:space="preserve">Does the ship have a procedure in which crew members are able to report to a designated person on fatigue related issues </t>
    </r>
    <r>
      <rPr>
        <b/>
        <u/>
        <sz val="16"/>
        <rFont val="Arial"/>
        <family val="2"/>
      </rPr>
      <t>without fearing any action against them for such communication</t>
    </r>
    <r>
      <rPr>
        <sz val="16"/>
        <rFont val="Arial"/>
        <family val="2"/>
      </rPr>
      <t>?</t>
    </r>
  </si>
  <si>
    <t>Do all shipboard crew members undergo company fatigue management training and awareness campaigns on an initial and recurrent basis?</t>
  </si>
  <si>
    <t>5441</t>
  </si>
  <si>
    <t>5441.1</t>
  </si>
  <si>
    <t>5441.2</t>
  </si>
  <si>
    <t>5441.3</t>
  </si>
  <si>
    <t>Alternative 2 - Other Engine Types</t>
  </si>
  <si>
    <t>C. Additional questions</t>
  </si>
  <si>
    <t>5441.4</t>
  </si>
  <si>
    <t>Does the ship use a continuous emission monitoring system (in-situ or extractive) for monitoring and recording Methane Slip?</t>
  </si>
  <si>
    <t>Alternative 1 - Gas Turbine or High Pressure Dual Fuel Engine</t>
  </si>
  <si>
    <t>Is the ship powered by low (or no) Methane Slip technology, for example, Gas Turbine or High Pressure Dual Fuel (HPDF) Engine?</t>
  </si>
  <si>
    <t>5410.19</t>
  </si>
  <si>
    <t>For ALL ships (5410.19)</t>
  </si>
  <si>
    <t>B. Garbage types</t>
  </si>
  <si>
    <t>B.4 Cleaning agents &amp; additives</t>
  </si>
  <si>
    <t>B.5 Plastics</t>
  </si>
  <si>
    <t>5200.41</t>
  </si>
  <si>
    <t>5200.42</t>
  </si>
  <si>
    <t>5200.43</t>
  </si>
  <si>
    <t>A. General procedures</t>
  </si>
  <si>
    <t>B.3 Ashes and clinkers</t>
  </si>
  <si>
    <t>Are all collection garbage receptacles for all categories of garbage labelled/marked and color coded?</t>
  </si>
  <si>
    <t>B.1 Food waste</t>
  </si>
  <si>
    <t>Is the discharge from comminutors directed to a dedicated holding tank while the vessel is operating in special areas?</t>
  </si>
  <si>
    <t>Is the vessel equipped with a refrigerated sack compactor or freezer space for food waste storage?</t>
  </si>
  <si>
    <t>Is the vessel equipped with a grease interceptors (grease traps)?</t>
  </si>
  <si>
    <t>Has the crew completed training / education programme in relation to garbage management?</t>
  </si>
  <si>
    <t>5200.39</t>
  </si>
  <si>
    <t>5200.40</t>
  </si>
  <si>
    <t>Are plastic cutlery, dishes &amp; straws banned on board?</t>
  </si>
  <si>
    <t>Are beverages and mineral water bottles in bonded store replaced by better sustainable alternatives such as beverages in tin cans and large water barrels in a dispenser?</t>
  </si>
  <si>
    <t>Are single food servings in small plastic pots not used on board (for example, small yoghurt pots are replaced with decanted supplies in large containers)?</t>
  </si>
  <si>
    <r>
      <t>Greenhouse Gas (GHG) Emissions - Methane (CH</t>
    </r>
    <r>
      <rPr>
        <b/>
        <vertAlign val="subscript"/>
        <sz val="16"/>
        <rFont val="Arial"/>
        <family val="2"/>
      </rPr>
      <t>4</t>
    </r>
    <r>
      <rPr>
        <b/>
        <sz val="16"/>
        <rFont val="Arial"/>
        <family val="2"/>
      </rPr>
      <t>) Emissions - Main Propulsion</t>
    </r>
  </si>
  <si>
    <t xml:space="preserve">Corrosion Prevention of Seawater Ballast Tanks </t>
  </si>
  <si>
    <r>
      <t xml:space="preserve">Are </t>
    </r>
    <r>
      <rPr>
        <u/>
        <sz val="16"/>
        <rFont val="Arial"/>
        <family val="2"/>
      </rPr>
      <t>non harmful</t>
    </r>
    <r>
      <rPr>
        <sz val="16"/>
        <rFont val="Arial"/>
        <family val="2"/>
      </rPr>
      <t xml:space="preserve"> (MARPOL Annex V compliant) cleaning agents and additives used for cleaning the deck / external surfaces?</t>
    </r>
  </si>
  <si>
    <t>Are non-conformities, accidents and hazardous occurrences reported to the office?</t>
  </si>
  <si>
    <r>
      <t>Alternative for 1300.1</t>
    </r>
    <r>
      <rPr>
        <u/>
        <sz val="16"/>
        <rFont val="Arial"/>
        <family val="2"/>
      </rPr>
      <t>:</t>
    </r>
    <r>
      <rPr>
        <sz val="16"/>
        <rFont val="Arial"/>
        <family val="2"/>
      </rPr>
      <t xml:space="preserve"> sufficient number of air cylinders for the sole purpose of safety drills.</t>
    </r>
  </si>
  <si>
    <t>Does the vessel have access to contingency plans and related information in a non-electronic form that need to be followed in the event of a cyber attack?</t>
  </si>
  <si>
    <t>Are cargo tanks partly coated? (bottom up and approximately 2 m. of tank sides)</t>
  </si>
  <si>
    <t>Has the inert-gas installation enough capacity to inert the double hull as well?</t>
  </si>
  <si>
    <t>Is fine filtering mesh installed to the ship’s washing machine’s outlets to prevent micro-plastic fibres reaching the ocean?</t>
  </si>
  <si>
    <t>Has the ship achieved annual reduction in Methane Slip on its LNG-fuelled engines?</t>
  </si>
  <si>
    <t>Have shipboard personnel received awareness training on methane emissions from LNG-fuelled engines?</t>
  </si>
  <si>
    <r>
      <t xml:space="preserve">Does the ship hold a CAP rating for </t>
    </r>
    <r>
      <rPr>
        <u/>
        <sz val="16"/>
        <rFont val="Arial"/>
        <family val="2"/>
      </rPr>
      <t>Machinery</t>
    </r>
    <r>
      <rPr>
        <sz val="16"/>
        <rFont val="Arial"/>
        <family val="2"/>
      </rPr>
      <t xml:space="preserve"> with Rating / Grade 2 as a minimum? 
(When the vessel reaches </t>
    </r>
    <r>
      <rPr>
        <u/>
        <sz val="16"/>
        <rFont val="Arial"/>
        <family val="2"/>
      </rPr>
      <t>15 years</t>
    </r>
    <r>
      <rPr>
        <sz val="16"/>
        <rFont val="Arial"/>
        <family val="2"/>
      </rPr>
      <t xml:space="preserve"> of age, or by the </t>
    </r>
    <r>
      <rPr>
        <u/>
        <sz val="16"/>
        <rFont val="Arial"/>
        <family val="2"/>
      </rPr>
      <t>end of the 3rd special survey</t>
    </r>
    <r>
      <rPr>
        <sz val="16"/>
        <rFont val="Arial"/>
        <family val="2"/>
      </rPr>
      <t>, whichever is earlier.)</t>
    </r>
  </si>
  <si>
    <t>Are fuel oil samples drawn from the following designated sampling points at least once every four months for testing of catalytic fines &amp; separator efficiency at a recognized fuel analysis organization ashore?
1. at engine inlet
2. before separator
3. after separator</t>
  </si>
  <si>
    <t>Is the commingling of two different bunkers (even of the same grade of fuel) prohibited?</t>
  </si>
  <si>
    <t>Is the grinder / comminutor also used beyond 12 nautical miles (and operating outside special areas) from the nearest shore as they hasten assimilation into the marine environment ?</t>
  </si>
  <si>
    <t>Does a designated shipboard personnel provide a dedicated watch (from a safe location) on bunker station during the entire duration of the LNG bunkering?</t>
  </si>
  <si>
    <t>Is the ship certified for the latest edition of ISO 10015 (quality management – guidelines for competence management and people development)?</t>
  </si>
  <si>
    <t>Is the ship certified for the latest edition of ISO 30401 (knowledge management systems – requirements)?</t>
  </si>
  <si>
    <t>REQUIREMENTS ACCORDING TO ISO STANDARDS</t>
  </si>
  <si>
    <r>
      <t xml:space="preserve">Do all the ship’s engines (main and auxiliary) </t>
    </r>
    <r>
      <rPr>
        <b/>
        <u/>
        <sz val="16"/>
        <rFont val="Arial"/>
        <family val="2"/>
      </rPr>
      <t>ALWAYS</t>
    </r>
    <r>
      <rPr>
        <sz val="16"/>
        <rFont val="Arial"/>
        <family val="2"/>
      </rPr>
      <t xml:space="preserve"> operate at NOx Tier 3 levels in all ports and contiguous zones (24 nm from the nearest land)?</t>
    </r>
  </si>
  <si>
    <t>For ships required to follow D-1 standard (as per International Ballast Water Management Certificate (IBWMC))</t>
  </si>
  <si>
    <t>5700.10</t>
  </si>
  <si>
    <t>For ships required to follow D-2 standard (as per International Ballast Water Management Certificate (IBWMC))</t>
  </si>
  <si>
    <t>5700.11</t>
  </si>
  <si>
    <t>5700.12</t>
  </si>
  <si>
    <t>5700.14</t>
  </si>
  <si>
    <t>5700.15</t>
  </si>
  <si>
    <t>For all ships</t>
  </si>
  <si>
    <t>Does the ship voluntarily comply with D-2 ballast water management standard using a type-approved ballast water treatment system (BWTS)?</t>
  </si>
  <si>
    <t>5700.13</t>
  </si>
  <si>
    <t>Does the ship carry and implement ship-specific contingency plan prepared taking into account system design limitations, for example, 
- the UV-based BWTS cannot operate correctly in ports where the water is very muddy, 
- when operating in low salinity ports, the crew should plan to carry enough salt water or brine in order for the electrochlorination BWTS to function effectively.</t>
  </si>
  <si>
    <t>Does the ship undertake (both of) the following in order to keep the BWTS in operable condition:
- maintain full inventory of manufacturer recommended spare parts list
- maintain safe-margin stock of consumables (such as chemicals with short shelf-life, UV lamps, etc. as required by the installed system)</t>
  </si>
  <si>
    <t>Does relevant shipboard personnel make use of suitable personal protective equipment (PPE) for handling chemicals used to operate BWTS?</t>
  </si>
  <si>
    <t>Is relevant crew trained to operate specific BWT system installed on board, for example, by means of computer-based training, training at the makers facilities or on a simulation BWMS that mimics real BWTS operations?</t>
  </si>
  <si>
    <t>Is the relevant crew familiarized with the operation of the BWTS installed on board?</t>
  </si>
  <si>
    <t>5100</t>
  </si>
  <si>
    <t>5100.5</t>
  </si>
  <si>
    <t>Biofouling Management</t>
  </si>
  <si>
    <t>5100.6</t>
  </si>
  <si>
    <t>5100.7</t>
  </si>
  <si>
    <t>5100.9</t>
  </si>
  <si>
    <t>Are there ship-specific procedures/instructions (according to IMO guidelines) for the control and management of ship's biofouling to minimize the transfer of invasive aquatic species?</t>
  </si>
  <si>
    <t>Does the ship undergo in-water inspections and proactive hull cleanings as per the frequency and timing defined in consultation with coatings manufacturer and/or coatings consultant?</t>
  </si>
  <si>
    <t>Does the ship communicate to the office data points that are pre-defined as indicators for reactive hull cleaning (For example, based on performance monitoring or other relevant datasets such as increased drag or increased friction)?</t>
  </si>
  <si>
    <t>Is the vessel's hull coated with non-toxic hard coating to mitigate bio-fouling?</t>
  </si>
  <si>
    <t>Vessel assigned to NOx Tier-3 ECA route (Y/N)</t>
  </si>
  <si>
    <t>Main propulsion type</t>
  </si>
  <si>
    <t>DIESEL ENGINE</t>
  </si>
  <si>
    <t>Electricity generation</t>
  </si>
  <si>
    <t>DUAL FUEL DIESEL ENGINE</t>
  </si>
  <si>
    <t>For DIESEL-ELECTRIC &amp; DUAL FUEL (LNG / LPG) data, use "OTHER ENGINE" modules below</t>
  </si>
  <si>
    <t>STEAM TURBINE</t>
  </si>
  <si>
    <t>GAS TURBINE</t>
  </si>
  <si>
    <t>DIESEL-ELECTRIC</t>
  </si>
  <si>
    <t>STEAM TURBINE + (DUAL FUEL) DIESEL ENGINE</t>
  </si>
  <si>
    <t>Are all recyclable material such as paper, plastic, metal (for example, tin cans), glass, bottles, crockery &amp; similar refuse, and dunnage always delivered to the port reception facilities?</t>
  </si>
  <si>
    <t>5821.9 is an alternative to 5821.1 - 5821.19 (all the above)</t>
  </si>
  <si>
    <t>5821.19</t>
  </si>
  <si>
    <t>Does the ship have in operation a Class-approved equipment that ensures that the oil content of the bilge water effluent without dilution does not exceed 5 parts per million?</t>
  </si>
  <si>
    <t>5500.10</t>
  </si>
  <si>
    <r>
      <t xml:space="preserve">Is the crew </t>
    </r>
    <r>
      <rPr>
        <b/>
        <u/>
        <sz val="16"/>
        <rFont val="Arial"/>
        <family val="2"/>
      </rPr>
      <t>aware</t>
    </r>
    <r>
      <rPr>
        <sz val="16"/>
        <rFont val="Arial"/>
        <family val="2"/>
      </rPr>
      <t xml:space="preserve"> that old plastic ropes and mooring lines are forbidden to be dumped at sea and must be retained on board until landed ashore for correct disposal?</t>
    </r>
  </si>
  <si>
    <t>5900.14</t>
  </si>
  <si>
    <t>Is a software tool used to support the IHM maintenance process, for example, for the collection of Material Declarations (MDs) &amp; SDoCs for all purchased items that fall into the scope of IHM Part I?</t>
  </si>
  <si>
    <t>CHECKLIST - BASIC CRITERIA - SHIP SURVEY - OILTANKER - VERSION 2025</t>
  </si>
  <si>
    <t>CHECKLIST - RANKING CRITERIA - SHIP SURVEY - OILTANKER - VERSION 2025</t>
  </si>
  <si>
    <t>CHECKLIST - RANKING CRITERIA - SURVEY - OILTANKER - VERSION 2025</t>
  </si>
  <si>
    <t>Does the company MS specify a safe-maximum percentage fill for bunker tanks? (max. limit 90%)</t>
  </si>
  <si>
    <r>
      <rPr>
        <b/>
        <u/>
        <sz val="16"/>
        <rFont val="Arial"/>
        <family val="2"/>
      </rPr>
      <t>Main propulsion:</t>
    </r>
    <r>
      <rPr>
        <sz val="16"/>
        <rFont val="Arial"/>
        <family val="2"/>
      </rPr>
      <t xml:space="preserve">
Does the ship burn low carbon fuels such as:</t>
    </r>
  </si>
  <si>
    <r>
      <rPr>
        <b/>
        <u/>
        <sz val="16"/>
        <rFont val="Arial"/>
        <family val="2"/>
      </rPr>
      <t>Power generation:</t>
    </r>
    <r>
      <rPr>
        <sz val="16"/>
        <rFont val="Arial"/>
        <family val="2"/>
      </rPr>
      <t xml:space="preserve">
Does the ship burn low carbon fuels such as:</t>
    </r>
  </si>
  <si>
    <r>
      <rPr>
        <b/>
        <u/>
        <sz val="16"/>
        <rFont val="Arial"/>
        <family val="2"/>
      </rPr>
      <t xml:space="preserve">Main propulsion:
</t>
    </r>
    <r>
      <rPr>
        <sz val="16"/>
        <rFont val="Arial"/>
        <family val="2"/>
      </rPr>
      <t>Does the ship use zero carbon fuels such as:</t>
    </r>
  </si>
  <si>
    <r>
      <rPr>
        <b/>
        <u/>
        <sz val="16"/>
        <rFont val="Arial"/>
        <family val="2"/>
      </rPr>
      <t>Power generation:</t>
    </r>
    <r>
      <rPr>
        <sz val="16"/>
        <rFont val="Arial"/>
        <family val="2"/>
      </rPr>
      <t xml:space="preserve">
Does the ship use zero carbon fuels such as:</t>
    </r>
  </si>
  <si>
    <t>5500.13</t>
  </si>
  <si>
    <t>Is the sewage holding tank used at all ports to avoid discharging sewage overboard (overboard discharge valve closed)?</t>
  </si>
  <si>
    <t>5500.14</t>
  </si>
  <si>
    <r>
      <rPr>
        <b/>
        <u/>
        <sz val="16"/>
        <rFont val="Arial"/>
        <family val="2"/>
      </rPr>
      <t>Alternative to 5500.13</t>
    </r>
    <r>
      <rPr>
        <sz val="16"/>
        <rFont val="Arial"/>
        <family val="2"/>
      </rPr>
      <t xml:space="preserve">
Does the ship have in place an alternative mechasim (Class/Flag state approved) to hold sewage on board to avoid discharging at all ports?</t>
    </r>
  </si>
  <si>
    <t>5500.11</t>
  </si>
  <si>
    <t>Does the ship treat sewage with a sewage treatment plant before discharging effluents at sea?</t>
  </si>
  <si>
    <t>M/RR</t>
  </si>
  <si>
    <r>
      <rPr>
        <b/>
        <u/>
        <sz val="16"/>
        <rFont val="Arial"/>
        <family val="2"/>
      </rPr>
      <t>Alternative to all the above</t>
    </r>
    <r>
      <rPr>
        <sz val="16"/>
        <rFont val="Arial"/>
        <family val="2"/>
      </rPr>
      <t xml:space="preserve">
Does the ship deliver all its sewage / sewage sludge (regardless of treated or untreated) to port reception facilities (where available)?</t>
    </r>
  </si>
  <si>
    <t>7500.12</t>
  </si>
  <si>
    <t>.</t>
  </si>
  <si>
    <t>Does the ship consider during near-miss investigations, fatigue as one of the factors causing the incident?</t>
  </si>
  <si>
    <t>Environmental Requirements during the Voyage</t>
  </si>
  <si>
    <t>Voyage-plan ( checklist ) includes verification of compliance with SECA requirements before entry of area/location ( either by means of change of fuel-grade or use of SOx-scrubber )</t>
  </si>
  <si>
    <t>Voyage-plan ( checklist ) includes verification of compliance with NECA (Tier III)  requirements before entry of area/location ( either by use of exhaust gas treatment or engine technology, e.g. dual fuel )</t>
  </si>
  <si>
    <t>Voyage-plan ( checklist ) includes verification of compliance with Ballast Water Management requirements ( either by means of D-2 treatment system or D-1 exchange of ballast during voyage )</t>
  </si>
  <si>
    <t>Voyage-plan ( checklists ) includes verification for transit of globally known whale-areas ( habitats ) and migration patterns and provides disturbance mitigation. Source : WWF whale.org</t>
  </si>
  <si>
    <t>Voyage-plan ( checklists ) includes verification for transit through PSSA (Particularly Sensitive Sea Areas)?</t>
  </si>
  <si>
    <r>
      <t xml:space="preserve">Alternative to 2120.2: 
</t>
    </r>
    <r>
      <rPr>
        <sz val="16"/>
        <rFont val="Arial"/>
        <family val="2"/>
      </rPr>
      <t>Vessel has been designed not to carry any Ballast Water ( no Ballast Tanks available onboard )</t>
    </r>
  </si>
  <si>
    <t>Are there cadets currently onboard or has there been any in the last 6 months ?</t>
  </si>
  <si>
    <t>Discharge at port and at sea</t>
  </si>
  <si>
    <t>Sewage Treatment Plant; Effluent Sampling/Monitoring; Causal awareness</t>
  </si>
  <si>
    <t>5500.17</t>
  </si>
  <si>
    <t>5500.15</t>
  </si>
  <si>
    <t>5500.16</t>
  </si>
  <si>
    <t>Is a monitoring equipment installted at the discharge line of the Sewage Treatment Plant onboard to continuously monitor the effluent quality?</t>
  </si>
  <si>
    <t>Is an automated logging equipment in place to record the details of the discharged effluent from the Sewage Treatment Plant installed and implemented?</t>
  </si>
  <si>
    <t>Are there means to create awareness concerning the usage of lavatories onboard, that could have negative impact to the performance of the (biological) sewage treatment plant?</t>
  </si>
  <si>
    <t>5200.44</t>
  </si>
  <si>
    <t>Is an extra filtration equipment on the main supply line – such as a reverse osmosis (RO) installation – available on different decks in public areas, such as the galley or pantries?
(In order to eliminate/reduce bottled water and supply safe drinking water onboard.)
(The system is to be in addition to the standard arrangement of the vessel’s Drinking Water (DW) filtration system, such as a rehardening filter and UV sterilizer.)</t>
  </si>
  <si>
    <t>M/RN</t>
  </si>
  <si>
    <t>R5500.15-16 alternative to R5500.2 &amp; R5500.3: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</si>
</sst>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0">
    <numFmt numFmtId="164" formatCode="&quot;Minimum ranking score required for element 5410 = &quot;0#"/>
    <numFmt numFmtId="166" formatCode="&quot;Minimum ranking score required for element 5421 = &quot;0#"/>
    <numFmt numFmtId="167" formatCode="&quot;Minimum ranking score required for element 5430 = &quot;0#"/>
    <numFmt numFmtId="170" formatCode="&quot;Minimum ranking score required for element 5460 = &quot;0#"/>
    <numFmt numFmtId="173" formatCode="&quot;Minimum ranking score required for element 6400 = &quot;#"/>
    <numFmt numFmtId="174" formatCode="&quot;Minimum ranking score required for element 1200 = &quot;0"/>
    <numFmt numFmtId="175" formatCode="&quot;Minimum ranking score required for element 1300 = &quot;0"/>
    <numFmt numFmtId="176" formatCode="&quot;Minimum ranking score required for element 1400 = &quot;0"/>
    <numFmt numFmtId="177" formatCode="&quot;Minimum ranking score required for element 1500 = &quot;0"/>
    <numFmt numFmtId="178" formatCode="&quot;Minimum ranking score required for element 1600 = &quot;0"/>
    <numFmt numFmtId="179" formatCode="&quot;Minimum ranking score required for element 2100 = &quot;0"/>
    <numFmt numFmtId="180" formatCode="&quot;Minimum ranking score required for element 2300 = &quot;0"/>
    <numFmt numFmtId="181" formatCode="&quot;Minimum ranking score required for element 3100 = &quot;0"/>
    <numFmt numFmtId="182" formatCode="&quot;Minimum ranking score required for element 3200 = &quot;0"/>
    <numFmt numFmtId="183" formatCode="&quot;Minimum ranking score required for element 4100 = &quot;0"/>
    <numFmt numFmtId="184" formatCode="&quot;Minimum ranking score required for element 5200 = &quot;0"/>
    <numFmt numFmtId="185" formatCode="&quot;Minimum ranking score required for element 5700 = &quot;0"/>
    <numFmt numFmtId="186" formatCode="&quot;Minimum ranking score required for element 6100 = &quot;0"/>
    <numFmt numFmtId="187" formatCode="&quot;Minimum ranking score required for element 6200 = &quot;0"/>
    <numFmt numFmtId="188" formatCode="&quot;Minimum ranking score required for element 6300 = &quot;0"/>
    <numFmt numFmtId="190" formatCode="&quot;Minimum ranking score required for element 7200 = &quot;0"/>
    <numFmt numFmtId="191" formatCode="&quot;Minimum ranking score required for element 7300 = &quot;0"/>
    <numFmt numFmtId="192" formatCode="&quot;Minimum ranking score required for element 7400 = &quot;0"/>
    <numFmt numFmtId="193" formatCode="&quot;Minimum ranking score required for element 7500 = &quot;0"/>
    <numFmt numFmtId="194" formatCode="&quot;Minimum ranking score required for element 2120 = &quot;0"/>
    <numFmt numFmtId="195" formatCode="&quot;Minimum ranking score required for element 2200 = &quot;0"/>
    <numFmt numFmtId="196" formatCode="&quot;Minimum ranking score required for element 4200 = &quot;0"/>
    <numFmt numFmtId="197" formatCode="&quot;Minimum ranking score required for element 4300 = &quot;0"/>
    <numFmt numFmtId="198" formatCode="&quot;Minimum ranking score required for element 4400 = &quot;0"/>
    <numFmt numFmtId="199" formatCode="&quot;Minimum ranking score required for element 4500 = &quot;0"/>
    <numFmt numFmtId="200" formatCode="&quot;Minimum ranking score required for element 5600 = &quot;0"/>
    <numFmt numFmtId="201" formatCode="&quot;Minimum ranking score required for element 5800 = &quot;0"/>
    <numFmt numFmtId="202" formatCode="&quot;Minimum ranking score required for element 6500 = &quot;0"/>
    <numFmt numFmtId="203" formatCode="&quot;Minimum ranking score required for element 5300 = &quot;0"/>
    <numFmt numFmtId="204" formatCode="0.000"/>
    <numFmt numFmtId="205" formatCode="##&quot; not complied&quot;"/>
    <numFmt numFmtId="209" formatCode="&quot;Minimum ranking score required for element 5810 = &quot;0#"/>
    <numFmt numFmtId="210" formatCode="&quot;Minimum ranking score required for element 5811 = &quot;0#"/>
    <numFmt numFmtId="211" formatCode="&quot;Minimum ranking score required for element 5812 = &quot;0#"/>
    <numFmt numFmtId="212" formatCode="&quot;Minimum ranking score required for element 5820 = &quot;0"/>
    <numFmt numFmtId="213" formatCode="&quot;Minimum ranking score required for element 5821 = &quot;0"/>
    <numFmt numFmtId="214" formatCode="&quot;Minimum ranking score required for element 5822 = &quot;0"/>
    <numFmt numFmtId="215" formatCode="&quot;Minimum ranking score required for element 6110 = &quot;0"/>
    <numFmt numFmtId="216" formatCode="&quot;Minimum ranking score required for element 5801 = &quot;0"/>
    <numFmt numFmtId="217" formatCode="&quot;Minimum ranking score required for element 5900 = &quot;0"/>
    <numFmt numFmtId="218" formatCode="&quot;Minimum ranking score required for element 1700 = &quot;0"/>
    <numFmt numFmtId="219" formatCode="&quot;Minimum ranking score required for element 1710 = &quot;0"/>
    <numFmt numFmtId="220" formatCode="&quot;Minimum ranking score required for element 5420 = &quot;0"/>
    <numFmt numFmtId="221" formatCode="&quot;Minimum ranking score required for element 2111 = &quot;0"/>
    <numFmt numFmtId="222" formatCode="&quot;Minimum ranking score required for element 5500 = &quot;0"/>
    <numFmt numFmtId="223" formatCode="&quot;Minimum ranking score required for element 5510 = &quot;0"/>
    <numFmt numFmtId="225" formatCode="&quot;Minimum ranking score required for element 1610 = &quot;0"/>
    <numFmt numFmtId="226" formatCode="&quot;Minimum ranking score required for element 1510 = &quot;0"/>
    <numFmt numFmtId="227" formatCode="&quot;Minimum ranking score required for element 1800 = &quot;0"/>
    <numFmt numFmtId="228" formatCode="0.0"/>
    <numFmt numFmtId="229" formatCode="&quot;Minimum ranking score required for element 5440 = &quot;0"/>
    <numFmt numFmtId="230" formatCode="&quot;Minimum ranking score required for element 9421 = &quot;0"/>
    <numFmt numFmtId="231" formatCode="&quot;Minimum ranking score required for element 3101 = &quot;0"/>
    <numFmt numFmtId="232" formatCode="&quot;Minimum ranking score required for element 5441 = &quot;0"/>
    <numFmt numFmtId="233" formatCode="&quot;Minimum ranking score required for element 5100 = &quot;0"/>
  </numFmts>
  <fonts count="11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20"/>
      <name val="Arial"/>
      <family val="2"/>
    </font>
    <font>
      <b/>
      <sz val="14"/>
      <name val="Arial"/>
      <family val="2"/>
    </font>
    <font>
      <b/>
      <sz val="12"/>
      <name val="Arial"/>
      <family val="2"/>
    </font>
    <font>
      <sz val="12"/>
      <name val="Arial"/>
      <family val="2"/>
    </font>
    <font>
      <b/>
      <sz val="12"/>
      <color indexed="12"/>
      <name val="Arial"/>
      <family val="2"/>
    </font>
    <font>
      <sz val="12"/>
      <color indexed="10"/>
      <name val="Arial"/>
      <family val="2"/>
    </font>
    <font>
      <sz val="14"/>
      <name val="Arial"/>
      <family val="2"/>
    </font>
    <font>
      <b/>
      <sz val="16"/>
      <color indexed="10"/>
      <name val="Arial"/>
      <family val="2"/>
    </font>
    <font>
      <sz val="16"/>
      <name val="Arial"/>
      <family val="2"/>
    </font>
    <font>
      <b/>
      <sz val="14"/>
      <color indexed="10"/>
      <name val="Arial Black"/>
      <family val="2"/>
    </font>
    <font>
      <b/>
      <sz val="14"/>
      <color indexed="12"/>
      <name val="Arial"/>
      <family val="2"/>
    </font>
    <font>
      <b/>
      <sz val="14"/>
      <color indexed="10"/>
      <name val="Arial"/>
      <family val="2"/>
    </font>
    <font>
      <sz val="10"/>
      <color indexed="12"/>
      <name val="Arial"/>
      <family val="2"/>
    </font>
    <font>
      <sz val="14"/>
      <color indexed="10"/>
      <name val="Arial"/>
      <family val="2"/>
    </font>
    <font>
      <sz val="14"/>
      <color indexed="12"/>
      <name val="Arial"/>
      <family val="2"/>
    </font>
    <font>
      <b/>
      <sz val="14"/>
      <color indexed="8"/>
      <name val="Arial"/>
      <family val="2"/>
    </font>
    <font>
      <b/>
      <sz val="14"/>
      <color indexed="52"/>
      <name val="Arial"/>
      <family val="2"/>
    </font>
    <font>
      <b/>
      <sz val="36"/>
      <name val="Arial"/>
      <family val="2"/>
    </font>
    <font>
      <b/>
      <sz val="14"/>
      <color indexed="57"/>
      <name val="Arial"/>
      <family val="2"/>
    </font>
    <font>
      <sz val="14"/>
      <color indexed="57"/>
      <name val="Arial"/>
      <family val="2"/>
    </font>
    <font>
      <b/>
      <sz val="12"/>
      <color indexed="10"/>
      <name val="Arial"/>
      <family val="2"/>
    </font>
    <font>
      <b/>
      <sz val="10"/>
      <name val="Arial"/>
      <family val="2"/>
    </font>
    <font>
      <b/>
      <sz val="18"/>
      <color indexed="10"/>
      <name val="Arial"/>
      <family val="2"/>
    </font>
    <font>
      <b/>
      <sz val="10"/>
      <color indexed="10"/>
      <name val="Arial Black"/>
      <family val="2"/>
    </font>
    <font>
      <sz val="10"/>
      <color indexed="10"/>
      <name val="Arial Black"/>
      <family val="2"/>
    </font>
    <font>
      <sz val="10"/>
      <name val="Arial"/>
      <family val="2"/>
    </font>
    <font>
      <b/>
      <i/>
      <sz val="12"/>
      <name val="Arial"/>
      <family val="2"/>
    </font>
    <font>
      <b/>
      <sz val="14"/>
      <name val="Arial"/>
      <family val="2"/>
    </font>
    <font>
      <sz val="14"/>
      <color indexed="48"/>
      <name val="Arial"/>
      <family val="2"/>
    </font>
    <font>
      <b/>
      <sz val="16"/>
      <name val="Arial"/>
      <family val="2"/>
    </font>
    <font>
      <b/>
      <sz val="26"/>
      <name val="Arial"/>
      <family val="2"/>
    </font>
    <font>
      <b/>
      <sz val="18"/>
      <name val="Arial"/>
      <family val="2"/>
    </font>
    <font>
      <b/>
      <sz val="10"/>
      <color indexed="10"/>
      <name val="Arial"/>
      <family val="2"/>
    </font>
    <font>
      <sz val="8"/>
      <name val="Arial"/>
      <family val="2"/>
    </font>
    <font>
      <sz val="14"/>
      <color indexed="17"/>
      <name val="Arial"/>
      <family val="2"/>
    </font>
    <font>
      <sz val="10"/>
      <color indexed="17"/>
      <name val="Arial"/>
      <family val="2"/>
    </font>
    <font>
      <sz val="26"/>
      <name val="Arial"/>
      <family val="2"/>
    </font>
    <font>
      <sz val="26"/>
      <color indexed="17"/>
      <name val="Arial"/>
      <family val="2"/>
    </font>
    <font>
      <sz val="14"/>
      <color indexed="18"/>
      <name val="Arial"/>
      <family val="2"/>
    </font>
    <font>
      <b/>
      <u/>
      <sz val="14"/>
      <color indexed="18"/>
      <name val="Arial"/>
      <family val="2"/>
    </font>
    <font>
      <sz val="10"/>
      <color indexed="18"/>
      <name val="Arial"/>
      <family val="2"/>
    </font>
    <font>
      <b/>
      <u/>
      <sz val="16"/>
      <name val="Arial"/>
      <family val="2"/>
    </font>
    <font>
      <sz val="16"/>
      <color indexed="22"/>
      <name val="Arial"/>
      <family val="2"/>
    </font>
    <font>
      <u/>
      <sz val="16"/>
      <name val="Arial"/>
      <family val="2"/>
    </font>
    <font>
      <b/>
      <sz val="16"/>
      <color indexed="8"/>
      <name val="Arial"/>
      <family val="2"/>
    </font>
    <font>
      <sz val="16"/>
      <color indexed="8"/>
      <name val="Arial"/>
      <family val="2"/>
    </font>
    <font>
      <b/>
      <sz val="14"/>
      <color indexed="17"/>
      <name val="Arial"/>
      <family val="2"/>
    </font>
    <font>
      <sz val="16"/>
      <color indexed="17"/>
      <name val="Arial"/>
      <family val="2"/>
    </font>
    <font>
      <b/>
      <u/>
      <sz val="18"/>
      <name val="Arial"/>
      <family val="2"/>
    </font>
    <font>
      <i/>
      <sz val="16"/>
      <name val="Arial"/>
      <family val="2"/>
    </font>
    <font>
      <b/>
      <u/>
      <sz val="17"/>
      <name val="Arial"/>
      <family val="2"/>
    </font>
    <font>
      <sz val="17"/>
      <name val="Arial"/>
      <family val="2"/>
    </font>
    <font>
      <sz val="1"/>
      <name val="Arial"/>
      <family val="2"/>
    </font>
    <font>
      <b/>
      <sz val="1"/>
      <color indexed="10"/>
      <name val="Arial Black"/>
      <family val="2"/>
    </font>
    <font>
      <sz val="16"/>
      <name val="Arial"/>
      <family val="2"/>
    </font>
    <font>
      <sz val="1"/>
      <name val="Arial"/>
      <family val="2"/>
    </font>
    <font>
      <sz val="16"/>
      <color indexed="55"/>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4"/>
      <color indexed="9"/>
      <name val="Arial Black"/>
      <family val="2"/>
    </font>
    <font>
      <sz val="10"/>
      <color indexed="9"/>
      <name val="Arial"/>
      <family val="2"/>
    </font>
    <font>
      <b/>
      <sz val="26"/>
      <color indexed="9"/>
      <name val="Arial"/>
      <family val="2"/>
    </font>
    <font>
      <sz val="26"/>
      <color indexed="9"/>
      <name val="Arial"/>
      <family val="2"/>
    </font>
    <font>
      <b/>
      <sz val="14"/>
      <color indexed="9"/>
      <name val="Arial"/>
      <family val="2"/>
    </font>
    <font>
      <b/>
      <sz val="15"/>
      <name val="Arial"/>
      <family val="2"/>
    </font>
    <font>
      <sz val="14"/>
      <name val="Arial"/>
      <family val="2"/>
    </font>
    <font>
      <b/>
      <u/>
      <sz val="16"/>
      <color indexed="8"/>
      <name val="Arial"/>
      <family val="2"/>
    </font>
    <font>
      <b/>
      <sz val="22"/>
      <name val="Arial"/>
      <family val="2"/>
    </font>
    <font>
      <sz val="16"/>
      <color indexed="10"/>
      <name val="Arial"/>
      <family val="2"/>
    </font>
    <font>
      <b/>
      <sz val="16"/>
      <color rgb="FFFF0000"/>
      <name val="Arial"/>
      <family val="2"/>
    </font>
    <font>
      <sz val="16"/>
      <color theme="1"/>
      <name val="Arial"/>
      <family val="2"/>
    </font>
    <font>
      <sz val="14"/>
      <color rgb="FF339966"/>
      <name val="Arial"/>
      <family val="2"/>
    </font>
    <font>
      <sz val="11"/>
      <color theme="1"/>
      <name val="Calibri"/>
      <family val="2"/>
      <scheme val="minor"/>
    </font>
    <font>
      <sz val="10"/>
      <color theme="1"/>
      <name val="Arial"/>
      <family val="2"/>
    </font>
    <font>
      <sz val="12"/>
      <color theme="1"/>
      <name val="Calibri"/>
      <family val="2"/>
      <scheme val="minor"/>
    </font>
    <font>
      <sz val="12"/>
      <color theme="1"/>
      <name val="Arial"/>
      <family val="2"/>
    </font>
    <font>
      <b/>
      <sz val="12"/>
      <color theme="1"/>
      <name val="Arial"/>
      <family val="2"/>
    </font>
    <font>
      <b/>
      <u/>
      <sz val="12"/>
      <color theme="1"/>
      <name val="Arial"/>
      <family val="2"/>
    </font>
    <font>
      <b/>
      <sz val="12"/>
      <color rgb="FFFF0000"/>
      <name val="Arial"/>
      <family val="2"/>
    </font>
    <font>
      <b/>
      <sz val="12"/>
      <color theme="1"/>
      <name val="Calibri"/>
      <family val="2"/>
      <scheme val="minor"/>
    </font>
    <font>
      <b/>
      <sz val="10"/>
      <color theme="1"/>
      <name val="Arial"/>
      <family val="2"/>
    </font>
    <font>
      <b/>
      <sz val="10"/>
      <color theme="1"/>
      <name val="Calibri"/>
      <family val="2"/>
      <scheme val="minor"/>
    </font>
    <font>
      <u/>
      <sz val="11"/>
      <color theme="10"/>
      <name val="Calibri"/>
      <family val="2"/>
      <scheme val="minor"/>
    </font>
    <font>
      <b/>
      <sz val="11"/>
      <color theme="1"/>
      <name val="Calibri"/>
      <family val="2"/>
      <scheme val="minor"/>
    </font>
    <font>
      <sz val="1"/>
      <color theme="1"/>
      <name val="Calibri"/>
      <family val="2"/>
      <scheme val="minor"/>
    </font>
    <font>
      <sz val="11"/>
      <color rgb="FF333333"/>
      <name val="Calibri"/>
      <family val="2"/>
      <scheme val="minor"/>
    </font>
    <font>
      <b/>
      <sz val="12"/>
      <name val="Calibri"/>
      <family val="2"/>
      <scheme val="minor"/>
    </font>
    <font>
      <u/>
      <sz val="10"/>
      <color theme="10"/>
      <name val="Arial"/>
      <family val="2"/>
    </font>
    <font>
      <b/>
      <vertAlign val="subscript"/>
      <sz val="16"/>
      <name val="Arial"/>
      <family val="2"/>
    </font>
    <font>
      <b/>
      <sz val="12"/>
      <name val="Wingdings"/>
      <charset val="2"/>
    </font>
    <font>
      <b/>
      <u/>
      <sz val="12"/>
      <color rgb="FFFF0000"/>
      <name val="Arial"/>
      <family val="2"/>
    </font>
    <font>
      <sz val="20"/>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13"/>
        <bgColor indexed="43"/>
      </patternFill>
    </fill>
    <fill>
      <patternFill patternType="solid">
        <fgColor indexed="11"/>
        <bgColor indexed="64"/>
      </patternFill>
    </fill>
    <fill>
      <patternFill patternType="solid">
        <fgColor indexed="10"/>
        <bgColor indexed="64"/>
      </patternFill>
    </fill>
    <fill>
      <patternFill patternType="solid">
        <fgColor indexed="40"/>
        <bgColor indexed="64"/>
      </patternFill>
    </fill>
    <fill>
      <patternFill patternType="solid">
        <fgColor indexed="14"/>
        <bgColor indexed="64"/>
      </patternFill>
    </fill>
    <fill>
      <patternFill patternType="lightUp">
        <bgColor indexed="51"/>
      </patternFill>
    </fill>
    <fill>
      <patternFill patternType="solid">
        <fgColor indexed="50"/>
        <bgColor indexed="64"/>
      </patternFill>
    </fill>
    <fill>
      <patternFill patternType="solid">
        <fgColor theme="0"/>
        <bgColor indexed="64"/>
      </patternFill>
    </fill>
    <fill>
      <patternFill patternType="solid">
        <fgColor theme="0"/>
        <bgColor indexed="43"/>
      </patternFill>
    </fill>
    <fill>
      <patternFill patternType="solid">
        <fgColor rgb="FFC0C0C0"/>
        <bgColor indexed="64"/>
      </patternFill>
    </fill>
    <fill>
      <patternFill patternType="solid">
        <fgColor rgb="FFFFFF00"/>
        <bgColor indexed="64"/>
      </patternFill>
    </fill>
    <fill>
      <patternFill patternType="solid">
        <fgColor rgb="FFCCCCFF"/>
        <bgColor indexed="64"/>
      </patternFill>
    </fill>
    <fill>
      <patternFill patternType="solid">
        <fgColor rgb="FF92D050"/>
        <bgColor indexed="64"/>
      </patternFill>
    </fill>
    <fill>
      <patternFill patternType="solid">
        <fgColor rgb="FF00B0F0"/>
        <bgColor indexed="64"/>
      </patternFill>
    </fill>
    <fill>
      <patternFill patternType="solid">
        <fgColor theme="0" tint="-0.249977111117893"/>
        <bgColor indexed="64"/>
      </patternFill>
    </fill>
    <fill>
      <patternFill patternType="solid">
        <fgColor rgb="FF99CC00"/>
        <bgColor indexed="64"/>
      </patternFill>
    </fill>
  </fills>
  <borders count="1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double">
        <color indexed="64"/>
      </top>
      <bottom/>
      <diagonal/>
    </border>
    <border>
      <left style="medium">
        <color indexed="64"/>
      </left>
      <right style="medium">
        <color indexed="64"/>
      </right>
      <top style="double">
        <color indexed="64"/>
      </top>
      <bottom style="medium">
        <color indexed="10"/>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double">
        <color indexed="64"/>
      </top>
      <bottom style="medium">
        <color indexed="10"/>
      </bottom>
      <diagonal/>
    </border>
    <border>
      <left/>
      <right style="medium">
        <color indexed="64"/>
      </right>
      <top style="thin">
        <color indexed="64"/>
      </top>
      <bottom style="double">
        <color indexed="64"/>
      </bottom>
      <diagonal/>
    </border>
    <border>
      <left style="medium">
        <color indexed="64"/>
      </left>
      <right style="medium">
        <color indexed="64"/>
      </right>
      <top/>
      <bottom style="medium">
        <color indexed="10"/>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10"/>
      </bottom>
      <diagonal/>
    </border>
    <border>
      <left/>
      <right/>
      <top style="medium">
        <color indexed="64"/>
      </top>
      <bottom style="medium">
        <color indexed="10"/>
      </bottom>
      <diagonal/>
    </border>
    <border>
      <left/>
      <right style="medium">
        <color indexed="64"/>
      </right>
      <top style="medium">
        <color indexed="64"/>
      </top>
      <bottom style="medium">
        <color indexed="10"/>
      </bottom>
      <diagonal/>
    </border>
    <border>
      <left style="medium">
        <color indexed="64"/>
      </left>
      <right/>
      <top style="medium">
        <color indexed="10"/>
      </top>
      <bottom style="medium">
        <color indexed="64"/>
      </bottom>
      <diagonal/>
    </border>
    <border>
      <left/>
      <right style="medium">
        <color indexed="10"/>
      </right>
      <top style="medium">
        <color indexed="10"/>
      </top>
      <bottom style="medium">
        <color indexed="64"/>
      </bottom>
      <diagonal/>
    </border>
    <border>
      <left style="medium">
        <color indexed="10"/>
      </left>
      <right/>
      <top style="medium">
        <color indexed="10"/>
      </top>
      <bottom style="medium">
        <color indexed="64"/>
      </bottom>
      <diagonal/>
    </border>
    <border>
      <left/>
      <right/>
      <top style="medium">
        <color indexed="10"/>
      </top>
      <bottom style="medium">
        <color indexed="64"/>
      </bottom>
      <diagonal/>
    </border>
    <border>
      <left/>
      <right style="medium">
        <color indexed="64"/>
      </right>
      <top style="medium">
        <color indexed="10"/>
      </top>
      <bottom style="medium">
        <color indexed="64"/>
      </bottom>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medium">
        <color indexed="10"/>
      </left>
      <right/>
      <top/>
      <bottom style="medium">
        <color indexed="64"/>
      </bottom>
      <diagonal/>
    </border>
    <border>
      <left style="medium">
        <color indexed="64"/>
      </left>
      <right/>
      <top style="medium">
        <color indexed="10"/>
      </top>
      <bottom/>
      <diagonal/>
    </border>
    <border>
      <left/>
      <right style="medium">
        <color indexed="10"/>
      </right>
      <top style="medium">
        <color indexed="10"/>
      </top>
      <bottom/>
      <diagonal/>
    </border>
    <border>
      <left style="medium">
        <color indexed="10"/>
      </left>
      <right/>
      <top style="medium">
        <color indexed="10"/>
      </top>
      <bottom/>
      <diagonal/>
    </border>
    <border>
      <left/>
      <right/>
      <top style="medium">
        <color indexed="10"/>
      </top>
      <bottom/>
      <diagonal/>
    </border>
    <border>
      <left/>
      <right style="medium">
        <color indexed="64"/>
      </right>
      <top style="medium">
        <color indexed="10"/>
      </top>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diagonal/>
    </border>
    <border>
      <left/>
      <right style="thin">
        <color indexed="64"/>
      </right>
      <top/>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double">
        <color indexed="64"/>
      </left>
      <right/>
      <top style="double">
        <color indexed="64"/>
      </top>
      <bottom style="double">
        <color indexed="64"/>
      </bottom>
      <diagonal/>
    </border>
  </borders>
  <cellStyleXfs count="54">
    <xf numFmtId="0" fontId="0" fillId="0" borderId="0"/>
    <xf numFmtId="0" fontId="62" fillId="2" borderId="0" applyNumberFormat="0" applyBorder="0" applyAlignment="0" applyProtection="0"/>
    <xf numFmtId="0" fontId="62" fillId="3" borderId="0" applyNumberFormat="0" applyBorder="0" applyAlignment="0" applyProtection="0"/>
    <xf numFmtId="0" fontId="62" fillId="4" borderId="0" applyNumberFormat="0" applyBorder="0" applyAlignment="0" applyProtection="0"/>
    <xf numFmtId="0" fontId="62" fillId="5" borderId="0" applyNumberFormat="0" applyBorder="0" applyAlignment="0" applyProtection="0"/>
    <xf numFmtId="0" fontId="62" fillId="6" borderId="0" applyNumberFormat="0" applyBorder="0" applyAlignment="0" applyProtection="0"/>
    <xf numFmtId="0" fontId="62" fillId="7" borderId="0" applyNumberFormat="0" applyBorder="0" applyAlignment="0" applyProtection="0"/>
    <xf numFmtId="0" fontId="62" fillId="8" borderId="0" applyNumberFormat="0" applyBorder="0" applyAlignment="0" applyProtection="0"/>
    <xf numFmtId="0" fontId="62" fillId="9" borderId="0" applyNumberFormat="0" applyBorder="0" applyAlignment="0" applyProtection="0"/>
    <xf numFmtId="0" fontId="62" fillId="10" borderId="0" applyNumberFormat="0" applyBorder="0" applyAlignment="0" applyProtection="0"/>
    <xf numFmtId="0" fontId="62" fillId="5" borderId="0" applyNumberFormat="0" applyBorder="0" applyAlignment="0" applyProtection="0"/>
    <xf numFmtId="0" fontId="62" fillId="8" borderId="0" applyNumberFormat="0" applyBorder="0" applyAlignment="0" applyProtection="0"/>
    <xf numFmtId="0" fontId="62" fillId="11" borderId="0" applyNumberFormat="0" applyBorder="0" applyAlignment="0" applyProtection="0"/>
    <xf numFmtId="0" fontId="63" fillId="12" borderId="0" applyNumberFormat="0" applyBorder="0" applyAlignment="0" applyProtection="0"/>
    <xf numFmtId="0" fontId="63" fillId="9" borderId="0" applyNumberFormat="0" applyBorder="0" applyAlignment="0" applyProtection="0"/>
    <xf numFmtId="0" fontId="63" fillId="10" borderId="0" applyNumberFormat="0" applyBorder="0" applyAlignment="0" applyProtection="0"/>
    <xf numFmtId="0" fontId="63" fillId="13" borderId="0" applyNumberFormat="0" applyBorder="0" applyAlignment="0" applyProtection="0"/>
    <xf numFmtId="0" fontId="63" fillId="14" borderId="0" applyNumberFormat="0" applyBorder="0" applyAlignment="0" applyProtection="0"/>
    <xf numFmtId="0" fontId="63" fillId="15" borderId="0" applyNumberFormat="0" applyBorder="0" applyAlignment="0" applyProtection="0"/>
    <xf numFmtId="0" fontId="63" fillId="16" borderId="0" applyNumberFormat="0" applyBorder="0" applyAlignment="0" applyProtection="0"/>
    <xf numFmtId="0" fontId="63" fillId="17" borderId="0" applyNumberFormat="0" applyBorder="0" applyAlignment="0" applyProtection="0"/>
    <xf numFmtId="0" fontId="63" fillId="18" borderId="0" applyNumberFormat="0" applyBorder="0" applyAlignment="0" applyProtection="0"/>
    <xf numFmtId="0" fontId="63" fillId="13" borderId="0" applyNumberFormat="0" applyBorder="0" applyAlignment="0" applyProtection="0"/>
    <xf numFmtId="0" fontId="63" fillId="14" borderId="0" applyNumberFormat="0" applyBorder="0" applyAlignment="0" applyProtection="0"/>
    <xf numFmtId="0" fontId="63" fillId="19" borderId="0" applyNumberFormat="0" applyBorder="0" applyAlignment="0" applyProtection="0"/>
    <xf numFmtId="0" fontId="64" fillId="20" borderId="1" applyNumberFormat="0" applyAlignment="0" applyProtection="0"/>
    <xf numFmtId="0" fontId="65" fillId="21" borderId="2" applyNumberFormat="0" applyAlignment="0" applyProtection="0"/>
    <xf numFmtId="0" fontId="66" fillId="0" borderId="3" applyNumberFormat="0" applyFill="0" applyAlignment="0" applyProtection="0"/>
    <xf numFmtId="0" fontId="67" fillId="4" borderId="0" applyNumberFormat="0" applyBorder="0" applyAlignment="0" applyProtection="0"/>
    <xf numFmtId="0" fontId="68" fillId="7" borderId="1" applyNumberFormat="0" applyAlignment="0" applyProtection="0"/>
    <xf numFmtId="0" fontId="69" fillId="0" borderId="4" applyNumberFormat="0" applyFill="0" applyAlignment="0" applyProtection="0"/>
    <xf numFmtId="0" fontId="70" fillId="0" borderId="5" applyNumberFormat="0" applyFill="0" applyAlignment="0" applyProtection="0"/>
    <xf numFmtId="0" fontId="71" fillId="0" borderId="6" applyNumberFormat="0" applyFill="0" applyAlignment="0" applyProtection="0"/>
    <xf numFmtId="0" fontId="71" fillId="0" borderId="0" applyNumberFormat="0" applyFill="0" applyBorder="0" applyAlignment="0" applyProtection="0"/>
    <xf numFmtId="0" fontId="72" fillId="22" borderId="0" applyNumberFormat="0" applyBorder="0" applyAlignment="0" applyProtection="0"/>
    <xf numFmtId="0" fontId="30" fillId="0" borderId="0"/>
    <xf numFmtId="0" fontId="4" fillId="23" borderId="7" applyNumberFormat="0" applyFont="0" applyAlignment="0" applyProtection="0"/>
    <xf numFmtId="0" fontId="73" fillId="3" borderId="0" applyNumberFormat="0" applyBorder="0" applyAlignment="0" applyProtection="0"/>
    <xf numFmtId="9" fontId="4" fillId="0" borderId="0" applyFont="0" applyFill="0" applyBorder="0" applyAlignment="0" applyProtection="0"/>
    <xf numFmtId="0" fontId="74" fillId="0" borderId="0" applyNumberFormat="0" applyFill="0" applyBorder="0" applyAlignment="0" applyProtection="0"/>
    <xf numFmtId="0" fontId="75" fillId="0" borderId="9" applyNumberFormat="0" applyFill="0" applyAlignment="0" applyProtection="0"/>
    <xf numFmtId="0" fontId="76" fillId="20" borderId="8" applyNumberFormat="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92" fillId="0" borderId="0"/>
    <xf numFmtId="9" fontId="92" fillId="0" borderId="0" applyFont="0" applyFill="0" applyBorder="0" applyAlignment="0" applyProtection="0"/>
    <xf numFmtId="0" fontId="102" fillId="0" borderId="0" applyNumberFormat="0" applyFill="0" applyBorder="0" applyAlignment="0" applyProtection="0"/>
    <xf numFmtId="0" fontId="4" fillId="0" borderId="0"/>
    <xf numFmtId="0" fontId="3" fillId="0" borderId="0"/>
    <xf numFmtId="0" fontId="107" fillId="0" borderId="0" applyNumberForma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1209">
    <xf numFmtId="0" fontId="0" fillId="0" borderId="0" xfId="0"/>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0" fillId="0" borderId="13" xfId="0" applyBorder="1"/>
    <xf numFmtId="0" fontId="0" fillId="0" borderId="0" xfId="0" applyAlignment="1">
      <alignment vertical="center"/>
    </xf>
    <xf numFmtId="0" fontId="6" fillId="0" borderId="10" xfId="0" applyFont="1" applyBorder="1" applyAlignment="1">
      <alignment horizontal="center" vertical="center" textRotation="90"/>
    </xf>
    <xf numFmtId="0" fontId="7" fillId="0" borderId="10" xfId="0" applyFont="1" applyBorder="1" applyAlignment="1">
      <alignment textRotation="90"/>
    </xf>
    <xf numFmtId="0" fontId="8" fillId="0" borderId="14" xfId="0" applyFont="1" applyBorder="1" applyAlignment="1">
      <alignment horizontal="center" textRotation="90"/>
    </xf>
    <xf numFmtId="0" fontId="7" fillId="0" borderId="15" xfId="0" applyFont="1" applyBorder="1" applyAlignment="1">
      <alignment horizontal="center" textRotation="90"/>
    </xf>
    <xf numFmtId="0" fontId="8" fillId="0" borderId="16" xfId="0" applyFont="1" applyBorder="1" applyAlignment="1">
      <alignment horizontal="center" textRotation="90"/>
    </xf>
    <xf numFmtId="0" fontId="7" fillId="0" borderId="10" xfId="0" applyFont="1" applyBorder="1" applyAlignment="1">
      <alignment horizontal="center" textRotation="90"/>
    </xf>
    <xf numFmtId="0" fontId="7" fillId="0" borderId="17" xfId="0" applyFont="1" applyBorder="1" applyAlignment="1">
      <alignment horizontal="center" textRotation="90"/>
    </xf>
    <xf numFmtId="0" fontId="7" fillId="0" borderId="18" xfId="0" applyFont="1" applyBorder="1" applyAlignment="1">
      <alignment horizontal="left" vertical="center"/>
    </xf>
    <xf numFmtId="0" fontId="8" fillId="0" borderId="19" xfId="0" applyFont="1" applyBorder="1" applyAlignment="1">
      <alignment horizontal="left" vertical="center"/>
    </xf>
    <xf numFmtId="0" fontId="26" fillId="0" borderId="10" xfId="0" applyFont="1" applyBorder="1" applyAlignment="1">
      <alignment horizontal="center" vertical="center" textRotation="90"/>
    </xf>
    <xf numFmtId="0" fontId="0" fillId="0" borderId="20" xfId="0" applyBorder="1"/>
    <xf numFmtId="0" fontId="6" fillId="0" borderId="21" xfId="0" applyFont="1" applyBorder="1" applyAlignment="1">
      <alignment horizontal="center" vertical="center"/>
    </xf>
    <xf numFmtId="0" fontId="37" fillId="0" borderId="22" xfId="0" applyFont="1" applyBorder="1" applyAlignment="1">
      <alignment horizontal="center"/>
    </xf>
    <xf numFmtId="0" fontId="37" fillId="0" borderId="0" xfId="0" applyFont="1"/>
    <xf numFmtId="0" fontId="0" fillId="0" borderId="23" xfId="0" applyBorder="1"/>
    <xf numFmtId="0" fontId="37" fillId="0" borderId="24" xfId="0" applyFont="1" applyBorder="1" applyAlignment="1">
      <alignment horizontal="center"/>
    </xf>
    <xf numFmtId="0" fontId="37" fillId="0" borderId="20" xfId="0" applyFont="1" applyBorder="1"/>
    <xf numFmtId="0" fontId="0" fillId="0" borderId="25" xfId="0" applyBorder="1"/>
    <xf numFmtId="0" fontId="0" fillId="0" borderId="26" xfId="0" applyBorder="1"/>
    <xf numFmtId="0" fontId="0" fillId="0" borderId="27" xfId="0" applyBorder="1"/>
    <xf numFmtId="0" fontId="14" fillId="24" borderId="17" xfId="0" applyFont="1" applyFill="1" applyBorder="1" applyAlignment="1">
      <alignment horizontal="center" vertical="center"/>
    </xf>
    <xf numFmtId="0" fontId="14" fillId="24" borderId="10" xfId="0" applyFont="1" applyFill="1" applyBorder="1" applyAlignment="1">
      <alignment horizontal="center" vertical="center"/>
    </xf>
    <xf numFmtId="0" fontId="14" fillId="24" borderId="10" xfId="0" applyFont="1" applyFill="1" applyBorder="1" applyAlignment="1">
      <alignment vertical="center"/>
    </xf>
    <xf numFmtId="0" fontId="0" fillId="25" borderId="0" xfId="0" applyFill="1" applyAlignment="1">
      <alignment vertical="center"/>
    </xf>
    <xf numFmtId="0" fontId="14" fillId="24" borderId="14" xfId="0" applyFont="1" applyFill="1" applyBorder="1" applyAlignment="1">
      <alignment vertical="center"/>
    </xf>
    <xf numFmtId="0" fontId="14" fillId="24" borderId="15" xfId="0" applyFont="1" applyFill="1" applyBorder="1" applyAlignment="1">
      <alignment vertical="center"/>
    </xf>
    <xf numFmtId="0" fontId="14" fillId="24" borderId="16" xfId="0" applyFont="1" applyFill="1" applyBorder="1" applyAlignment="1">
      <alignment vertical="center"/>
    </xf>
    <xf numFmtId="0" fontId="14" fillId="24" borderId="21" xfId="0" applyFont="1" applyFill="1" applyBorder="1" applyAlignment="1">
      <alignment vertical="center"/>
    </xf>
    <xf numFmtId="0" fontId="0" fillId="24" borderId="21" xfId="0" applyFill="1" applyBorder="1" applyAlignment="1">
      <alignment vertical="center"/>
    </xf>
    <xf numFmtId="0" fontId="17" fillId="24" borderId="21" xfId="0" applyFont="1" applyFill="1" applyBorder="1" applyAlignment="1">
      <alignment vertical="center"/>
    </xf>
    <xf numFmtId="0" fontId="14" fillId="24" borderId="14" xfId="0" applyFont="1" applyFill="1" applyBorder="1" applyAlignment="1">
      <alignment horizontal="center" vertical="center"/>
    </xf>
    <xf numFmtId="0" fontId="14" fillId="24" borderId="15" xfId="0" applyFont="1" applyFill="1" applyBorder="1" applyAlignment="1">
      <alignment horizontal="center" vertical="center"/>
    </xf>
    <xf numFmtId="0" fontId="14" fillId="24" borderId="16" xfId="0" applyFont="1" applyFill="1" applyBorder="1" applyAlignment="1">
      <alignment horizontal="center" vertical="center"/>
    </xf>
    <xf numFmtId="0" fontId="14" fillId="24" borderId="29" xfId="0" applyFont="1" applyFill="1" applyBorder="1" applyAlignment="1">
      <alignment vertical="center"/>
    </xf>
    <xf numFmtId="0" fontId="33" fillId="24" borderId="21" xfId="0" applyFont="1" applyFill="1" applyBorder="1" applyAlignment="1">
      <alignment vertical="center"/>
    </xf>
    <xf numFmtId="0" fontId="14" fillId="24" borderId="21" xfId="0" applyFont="1" applyFill="1" applyBorder="1" applyAlignment="1">
      <alignment horizontal="center" vertical="center"/>
    </xf>
    <xf numFmtId="0" fontId="14" fillId="24" borderId="21" xfId="0" applyFont="1" applyFill="1" applyBorder="1" applyAlignment="1">
      <alignment horizontal="left" vertical="center"/>
    </xf>
    <xf numFmtId="0" fontId="14" fillId="24" borderId="20" xfId="0" applyFont="1" applyFill="1" applyBorder="1" applyAlignment="1">
      <alignment vertical="center"/>
    </xf>
    <xf numFmtId="0" fontId="14" fillId="24" borderId="14" xfId="0" applyFont="1" applyFill="1" applyBorder="1" applyAlignment="1">
      <alignment horizontal="left" vertical="center"/>
    </xf>
    <xf numFmtId="0" fontId="14" fillId="24" borderId="15" xfId="0" applyFont="1" applyFill="1" applyBorder="1" applyAlignment="1">
      <alignment horizontal="left" vertical="center"/>
    </xf>
    <xf numFmtId="0" fontId="14" fillId="24" borderId="16" xfId="0" applyFont="1" applyFill="1" applyBorder="1" applyAlignment="1">
      <alignment horizontal="left" vertical="center"/>
    </xf>
    <xf numFmtId="0" fontId="14" fillId="24" borderId="10" xfId="0" applyFont="1" applyFill="1" applyBorder="1" applyAlignment="1">
      <alignment horizontal="left" vertical="center"/>
    </xf>
    <xf numFmtId="0" fontId="0" fillId="24" borderId="21" xfId="0" applyFill="1" applyBorder="1" applyAlignment="1">
      <alignment horizontal="left" vertical="center"/>
    </xf>
    <xf numFmtId="0" fontId="19" fillId="24" borderId="21" xfId="0" applyFont="1" applyFill="1" applyBorder="1" applyAlignment="1">
      <alignment horizontal="center" vertical="center"/>
    </xf>
    <xf numFmtId="0" fontId="14" fillId="24" borderId="17" xfId="0" applyFont="1" applyFill="1" applyBorder="1" applyAlignment="1">
      <alignment vertical="center"/>
    </xf>
    <xf numFmtId="0" fontId="8" fillId="24" borderId="21" xfId="0" applyFont="1" applyFill="1" applyBorder="1" applyAlignment="1">
      <alignment horizontal="center" vertical="center"/>
    </xf>
    <xf numFmtId="0" fontId="14" fillId="24" borderId="20" xfId="0" applyFont="1" applyFill="1" applyBorder="1" applyAlignment="1">
      <alignment horizontal="center" vertical="center"/>
    </xf>
    <xf numFmtId="0" fontId="16" fillId="24" borderId="14" xfId="0" applyFont="1" applyFill="1" applyBorder="1" applyAlignment="1">
      <alignment horizontal="center" vertical="center"/>
    </xf>
    <xf numFmtId="0" fontId="16" fillId="24" borderId="15" xfId="0" applyFont="1" applyFill="1" applyBorder="1" applyAlignment="1">
      <alignment horizontal="center" vertical="center"/>
    </xf>
    <xf numFmtId="0" fontId="16" fillId="24" borderId="16" xfId="0" applyFont="1" applyFill="1" applyBorder="1" applyAlignment="1">
      <alignment horizontal="center" vertical="center"/>
    </xf>
    <xf numFmtId="0" fontId="16" fillId="24" borderId="10" xfId="0" applyFont="1" applyFill="1" applyBorder="1" applyAlignment="1">
      <alignment horizontal="center" vertical="center"/>
    </xf>
    <xf numFmtId="0" fontId="14" fillId="24" borderId="10" xfId="0" applyFont="1" applyFill="1" applyBorder="1" applyAlignment="1">
      <alignment horizontal="center"/>
    </xf>
    <xf numFmtId="0" fontId="14" fillId="24" borderId="15" xfId="0" applyFont="1" applyFill="1" applyBorder="1" applyAlignment="1">
      <alignment horizontal="center"/>
    </xf>
    <xf numFmtId="0" fontId="0" fillId="24" borderId="21" xfId="0" applyFill="1" applyBorder="1"/>
    <xf numFmtId="0" fontId="14" fillId="24" borderId="16" xfId="0" applyFont="1" applyFill="1" applyBorder="1" applyAlignment="1">
      <alignment horizontal="center"/>
    </xf>
    <xf numFmtId="0" fontId="14" fillId="24" borderId="14" xfId="0" applyFont="1" applyFill="1" applyBorder="1" applyAlignment="1">
      <alignment horizontal="center"/>
    </xf>
    <xf numFmtId="0" fontId="14" fillId="24" borderId="29" xfId="0" applyFont="1" applyFill="1" applyBorder="1" applyAlignment="1">
      <alignment horizontal="center"/>
    </xf>
    <xf numFmtId="0" fontId="0" fillId="26" borderId="0" xfId="0" applyFill="1"/>
    <xf numFmtId="0" fontId="0" fillId="0" borderId="37" xfId="0" applyBorder="1"/>
    <xf numFmtId="0" fontId="38" fillId="0" borderId="21" xfId="0" applyFont="1" applyBorder="1"/>
    <xf numFmtId="0" fontId="0" fillId="0" borderId="21" xfId="0" applyBorder="1"/>
    <xf numFmtId="0" fontId="32" fillId="24" borderId="38" xfId="0" applyFont="1" applyFill="1" applyBorder="1" applyAlignment="1" applyProtection="1">
      <alignment horizontal="center" vertical="center"/>
      <protection locked="0"/>
    </xf>
    <xf numFmtId="0" fontId="15" fillId="0" borderId="18" xfId="0" applyFont="1" applyBorder="1" applyAlignment="1">
      <alignment horizontal="center" vertical="center"/>
    </xf>
    <xf numFmtId="0" fontId="15" fillId="0" borderId="39" xfId="0" applyFont="1" applyBorder="1" applyAlignment="1">
      <alignment horizontal="center" vertical="center"/>
    </xf>
    <xf numFmtId="0" fontId="32" fillId="0" borderId="38" xfId="0" applyFont="1" applyBorder="1" applyAlignment="1">
      <alignment horizontal="center" vertical="center"/>
    </xf>
    <xf numFmtId="0" fontId="15" fillId="0" borderId="40" xfId="0" applyFont="1" applyBorder="1" applyAlignment="1">
      <alignment horizontal="center" vertical="center"/>
    </xf>
    <xf numFmtId="0" fontId="15" fillId="0" borderId="38" xfId="0" applyFont="1" applyBorder="1" applyAlignment="1">
      <alignment horizontal="center" vertical="center"/>
    </xf>
    <xf numFmtId="0" fontId="6" fillId="24" borderId="18" xfId="0" applyFont="1" applyFill="1" applyBorder="1" applyAlignment="1" applyProtection="1">
      <alignment horizontal="center" vertical="center"/>
      <protection locked="0"/>
    </xf>
    <xf numFmtId="0" fontId="14" fillId="0" borderId="37" xfId="0" applyFont="1" applyBorder="1" applyAlignment="1">
      <alignment horizontal="center" vertical="center"/>
    </xf>
    <xf numFmtId="0" fontId="14" fillId="0" borderId="40" xfId="0" applyFont="1" applyBorder="1" applyAlignment="1">
      <alignment horizontal="center" vertical="center"/>
    </xf>
    <xf numFmtId="0" fontId="6" fillId="0" borderId="41" xfId="0" applyFont="1" applyBorder="1" applyAlignment="1">
      <alignment horizontal="left" vertical="center"/>
    </xf>
    <xf numFmtId="0" fontId="32" fillId="0" borderId="38" xfId="0" applyFont="1" applyBorder="1" applyAlignment="1">
      <alignment vertical="center"/>
    </xf>
    <xf numFmtId="0" fontId="11" fillId="0" borderId="0" xfId="0" applyFont="1" applyAlignment="1">
      <alignment vertical="center"/>
    </xf>
    <xf numFmtId="0" fontId="6" fillId="0" borderId="38" xfId="0" applyFont="1" applyBorder="1" applyAlignment="1">
      <alignment horizontal="left" vertical="center"/>
    </xf>
    <xf numFmtId="0" fontId="6" fillId="0" borderId="18" xfId="0" applyFont="1" applyBorder="1" applyAlignment="1">
      <alignment horizontal="center" vertical="center"/>
    </xf>
    <xf numFmtId="0" fontId="6" fillId="0" borderId="18" xfId="0" applyFont="1" applyBorder="1" applyAlignment="1">
      <alignment horizontal="left" vertical="center"/>
    </xf>
    <xf numFmtId="0" fontId="6" fillId="0" borderId="38" xfId="0" applyFont="1" applyBorder="1" applyAlignment="1">
      <alignment vertical="center"/>
    </xf>
    <xf numFmtId="0" fontId="0" fillId="26" borderId="0" xfId="0" applyFill="1" applyAlignment="1">
      <alignment vertical="center"/>
    </xf>
    <xf numFmtId="0" fontId="6" fillId="0" borderId="24" xfId="0" applyFont="1" applyBorder="1" applyAlignment="1">
      <alignment horizontal="center" vertical="center" textRotation="90"/>
    </xf>
    <xf numFmtId="0" fontId="6" fillId="0" borderId="21" xfId="0" applyFont="1" applyBorder="1" applyAlignment="1">
      <alignment horizontal="right" vertical="center" textRotation="90" wrapText="1"/>
    </xf>
    <xf numFmtId="0" fontId="28" fillId="24" borderId="16" xfId="0" applyFont="1" applyFill="1" applyBorder="1" applyAlignment="1">
      <alignment horizontal="center"/>
    </xf>
    <xf numFmtId="0" fontId="28" fillId="24" borderId="14" xfId="0" applyFont="1" applyFill="1" applyBorder="1" applyAlignment="1">
      <alignment horizontal="center"/>
    </xf>
    <xf numFmtId="0" fontId="28" fillId="24" borderId="10" xfId="0" applyFont="1" applyFill="1" applyBorder="1" applyAlignment="1">
      <alignment horizontal="center"/>
    </xf>
    <xf numFmtId="0" fontId="28" fillId="24" borderId="20" xfId="0" applyFont="1" applyFill="1" applyBorder="1" applyAlignment="1">
      <alignment horizontal="center"/>
    </xf>
    <xf numFmtId="0" fontId="28" fillId="24" borderId="29" xfId="0" applyFont="1" applyFill="1" applyBorder="1" applyAlignment="1">
      <alignment horizontal="center"/>
    </xf>
    <xf numFmtId="0" fontId="14" fillId="24" borderId="20" xfId="0" applyFont="1" applyFill="1" applyBorder="1" applyAlignment="1">
      <alignment horizontal="center"/>
    </xf>
    <xf numFmtId="0" fontId="14" fillId="24" borderId="17" xfId="0" applyFont="1" applyFill="1" applyBorder="1" applyAlignment="1">
      <alignment horizontal="center"/>
    </xf>
    <xf numFmtId="0" fontId="28" fillId="24" borderId="17" xfId="0" applyFont="1" applyFill="1" applyBorder="1" applyAlignment="1">
      <alignment horizontal="center"/>
    </xf>
    <xf numFmtId="0" fontId="28" fillId="24" borderId="14" xfId="0" applyFont="1" applyFill="1" applyBorder="1" applyAlignment="1">
      <alignment horizontal="center" vertical="center"/>
    </xf>
    <xf numFmtId="0" fontId="28" fillId="24" borderId="16" xfId="0" applyFont="1" applyFill="1" applyBorder="1" applyAlignment="1">
      <alignment horizontal="center" vertical="center"/>
    </xf>
    <xf numFmtId="0" fontId="29" fillId="24" borderId="14" xfId="0" applyFont="1" applyFill="1" applyBorder="1" applyAlignment="1">
      <alignment horizontal="center" vertical="center"/>
    </xf>
    <xf numFmtId="0" fontId="29" fillId="24" borderId="16" xfId="0" applyFont="1" applyFill="1" applyBorder="1" applyAlignment="1">
      <alignment horizontal="center" vertical="center"/>
    </xf>
    <xf numFmtId="0" fontId="29" fillId="24" borderId="20" xfId="0" applyFont="1" applyFill="1" applyBorder="1" applyAlignment="1">
      <alignment horizontal="center" vertical="center"/>
    </xf>
    <xf numFmtId="0" fontId="29" fillId="24" borderId="10" xfId="0" applyFont="1" applyFill="1" applyBorder="1" applyAlignment="1">
      <alignment horizontal="center" vertical="center"/>
    </xf>
    <xf numFmtId="0" fontId="14" fillId="24" borderId="32" xfId="0" applyFont="1" applyFill="1" applyBorder="1" applyAlignment="1">
      <alignment horizontal="center" vertical="center"/>
    </xf>
    <xf numFmtId="0" fontId="11" fillId="0" borderId="18" xfId="0" applyFont="1" applyBorder="1" applyAlignment="1">
      <alignment vertical="center"/>
    </xf>
    <xf numFmtId="0" fontId="30" fillId="0" borderId="0" xfId="0" applyFont="1" applyAlignment="1">
      <alignment horizontal="center" vertical="center"/>
    </xf>
    <xf numFmtId="0" fontId="14" fillId="24" borderId="44" xfId="0" applyFont="1" applyFill="1" applyBorder="1" applyAlignment="1">
      <alignment horizontal="center" vertical="center"/>
    </xf>
    <xf numFmtId="0" fontId="14" fillId="24" borderId="45" xfId="0" applyFont="1" applyFill="1" applyBorder="1" applyAlignment="1">
      <alignment horizontal="center" vertical="center"/>
    </xf>
    <xf numFmtId="0" fontId="14" fillId="24" borderId="46" xfId="0" applyFont="1" applyFill="1" applyBorder="1" applyAlignment="1">
      <alignment horizontal="center" vertical="center"/>
    </xf>
    <xf numFmtId="0" fontId="14" fillId="24" borderId="47" xfId="0" applyFont="1" applyFill="1" applyBorder="1" applyAlignment="1">
      <alignment horizontal="center" vertical="center"/>
    </xf>
    <xf numFmtId="0" fontId="14" fillId="24" borderId="48" xfId="0" applyFont="1" applyFill="1" applyBorder="1" applyAlignment="1">
      <alignment horizontal="center" vertical="center"/>
    </xf>
    <xf numFmtId="0" fontId="15" fillId="0" borderId="41" xfId="0" applyFont="1" applyBorder="1" applyAlignment="1">
      <alignment horizontal="center" vertical="center"/>
    </xf>
    <xf numFmtId="0" fontId="15" fillId="25" borderId="38" xfId="0" applyFont="1" applyFill="1" applyBorder="1" applyAlignment="1">
      <alignment horizontal="center" vertical="center"/>
    </xf>
    <xf numFmtId="0" fontId="15" fillId="25" borderId="18" xfId="0" applyFont="1" applyFill="1" applyBorder="1" applyAlignment="1">
      <alignment horizontal="center" vertical="center"/>
    </xf>
    <xf numFmtId="0" fontId="15" fillId="25" borderId="39" xfId="0" applyFont="1" applyFill="1" applyBorder="1" applyAlignment="1">
      <alignment horizontal="center" vertical="center"/>
    </xf>
    <xf numFmtId="0" fontId="32" fillId="24" borderId="38" xfId="0" applyFont="1" applyFill="1" applyBorder="1" applyAlignment="1">
      <alignment horizontal="center" vertical="center"/>
    </xf>
    <xf numFmtId="0" fontId="6" fillId="24" borderId="38" xfId="0" applyFont="1" applyFill="1" applyBorder="1" applyAlignment="1" applyProtection="1">
      <alignment horizontal="center" vertical="center"/>
      <protection locked="0"/>
    </xf>
    <xf numFmtId="0" fontId="6" fillId="24" borderId="38" xfId="0" applyFont="1" applyFill="1" applyBorder="1" applyAlignment="1">
      <alignment horizontal="center" vertical="center"/>
    </xf>
    <xf numFmtId="0" fontId="6" fillId="0" borderId="19" xfId="0" applyFont="1" applyBorder="1" applyAlignment="1">
      <alignment horizontal="left" vertical="center"/>
    </xf>
    <xf numFmtId="0" fontId="6" fillId="0" borderId="49" xfId="0" applyFont="1" applyBorder="1" applyAlignment="1">
      <alignment horizontal="left" vertical="center"/>
    </xf>
    <xf numFmtId="0" fontId="6" fillId="0" borderId="37" xfId="0" applyFont="1" applyBorder="1" applyAlignment="1">
      <alignment horizontal="left" vertical="center"/>
    </xf>
    <xf numFmtId="0" fontId="0" fillId="0" borderId="18" xfId="0" applyBorder="1" applyAlignment="1">
      <alignment horizontal="center"/>
    </xf>
    <xf numFmtId="0" fontId="34" fillId="0" borderId="24" xfId="0" applyFont="1" applyBorder="1" applyAlignment="1">
      <alignment horizontal="left" vertical="center"/>
    </xf>
    <xf numFmtId="0" fontId="34" fillId="0" borderId="20" xfId="0" applyFont="1" applyBorder="1" applyAlignment="1">
      <alignment horizontal="left" vertical="center"/>
    </xf>
    <xf numFmtId="0" fontId="44" fillId="26" borderId="0" xfId="0" applyFont="1" applyFill="1"/>
    <xf numFmtId="0" fontId="45" fillId="26" borderId="0" xfId="0" applyFont="1" applyFill="1"/>
    <xf numFmtId="0" fontId="43" fillId="26" borderId="0" xfId="0" applyFont="1" applyFill="1"/>
    <xf numFmtId="0" fontId="34" fillId="0" borderId="24" xfId="0" applyFont="1" applyBorder="1" applyAlignment="1">
      <alignment vertical="center"/>
    </xf>
    <xf numFmtId="0" fontId="13" fillId="0" borderId="23" xfId="0" applyFont="1" applyBorder="1" applyAlignment="1">
      <alignment horizontal="left" vertical="center" wrapText="1"/>
    </xf>
    <xf numFmtId="0" fontId="13" fillId="0" borderId="23" xfId="0" applyFont="1" applyBorder="1" applyAlignment="1">
      <alignment vertical="center"/>
    </xf>
    <xf numFmtId="0" fontId="13" fillId="0" borderId="42" xfId="0" applyFont="1" applyBorder="1" applyAlignment="1">
      <alignment vertical="center"/>
    </xf>
    <xf numFmtId="0" fontId="13" fillId="0" borderId="42" xfId="0" applyFont="1" applyBorder="1" applyAlignment="1">
      <alignment horizontal="left" vertical="center" wrapText="1"/>
    </xf>
    <xf numFmtId="0" fontId="13" fillId="0" borderId="52" xfId="0" applyFont="1" applyBorder="1" applyAlignment="1">
      <alignment vertical="center"/>
    </xf>
    <xf numFmtId="0" fontId="13" fillId="0" borderId="42" xfId="0" applyFont="1" applyBorder="1" applyAlignment="1">
      <alignment vertical="center" wrapText="1"/>
    </xf>
    <xf numFmtId="0" fontId="13" fillId="0" borderId="23" xfId="0" applyFont="1" applyBorder="1" applyAlignment="1">
      <alignment horizontal="left" vertical="center"/>
    </xf>
    <xf numFmtId="0" fontId="13" fillId="0" borderId="52" xfId="0" applyFont="1" applyBorder="1" applyAlignment="1">
      <alignment horizontal="left" vertical="center" wrapText="1"/>
    </xf>
    <xf numFmtId="0" fontId="34" fillId="0" borderId="10" xfId="0" applyFont="1" applyBorder="1" applyAlignment="1">
      <alignment vertical="center"/>
    </xf>
    <xf numFmtId="0" fontId="13" fillId="0" borderId="40" xfId="0" applyFont="1" applyBorder="1" applyAlignment="1">
      <alignment horizontal="left" vertical="center" wrapText="1"/>
    </xf>
    <xf numFmtId="0" fontId="13" fillId="0" borderId="18" xfId="0" applyFont="1" applyBorder="1" applyAlignment="1">
      <alignment vertical="center" wrapText="1"/>
    </xf>
    <xf numFmtId="0" fontId="13" fillId="0" borderId="41" xfId="0" applyFont="1" applyBorder="1" applyAlignment="1">
      <alignment vertical="center" wrapText="1"/>
    </xf>
    <xf numFmtId="0" fontId="13" fillId="0" borderId="23" xfId="0" applyFont="1" applyBorder="1" applyAlignment="1">
      <alignment vertical="center" wrapText="1"/>
    </xf>
    <xf numFmtId="0" fontId="13" fillId="0" borderId="52" xfId="0" applyFont="1" applyBorder="1" applyAlignment="1">
      <alignment vertical="center" wrapText="1"/>
    </xf>
    <xf numFmtId="0" fontId="34" fillId="0" borderId="21" xfId="0" applyFont="1" applyBorder="1" applyAlignment="1">
      <alignment vertical="center"/>
    </xf>
    <xf numFmtId="0" fontId="13" fillId="0" borderId="0" xfId="0" applyFont="1" applyAlignment="1">
      <alignment vertical="center" wrapText="1"/>
    </xf>
    <xf numFmtId="0" fontId="34" fillId="0" borderId="20" xfId="0" applyFont="1" applyBorder="1" applyAlignment="1">
      <alignment horizontal="left" vertical="center" wrapText="1"/>
    </xf>
    <xf numFmtId="0" fontId="34" fillId="0" borderId="21" xfId="0" applyFont="1" applyBorder="1" applyAlignment="1">
      <alignment vertical="center" wrapText="1"/>
    </xf>
    <xf numFmtId="0" fontId="13" fillId="27" borderId="50" xfId="0" applyFont="1" applyFill="1" applyBorder="1" applyAlignment="1">
      <alignment vertical="center" wrapText="1"/>
    </xf>
    <xf numFmtId="0" fontId="13" fillId="27" borderId="19" xfId="0" applyFont="1" applyFill="1" applyBorder="1" applyAlignment="1">
      <alignment vertical="center" wrapText="1"/>
    </xf>
    <xf numFmtId="0" fontId="13" fillId="0" borderId="18" xfId="0" applyFont="1" applyBorder="1" applyAlignment="1">
      <alignment vertical="center"/>
    </xf>
    <xf numFmtId="0" fontId="13" fillId="0" borderId="38" xfId="0" applyFont="1" applyBorder="1" applyAlignment="1">
      <alignment vertical="center" wrapText="1"/>
    </xf>
    <xf numFmtId="0" fontId="34" fillId="0" borderId="21" xfId="0" applyFont="1" applyBorder="1" applyAlignment="1">
      <alignment horizontal="left" vertical="center" wrapText="1"/>
    </xf>
    <xf numFmtId="0" fontId="13" fillId="0" borderId="18" xfId="0" applyFont="1" applyBorder="1" applyAlignment="1">
      <alignment horizontal="left" vertical="center" wrapText="1"/>
    </xf>
    <xf numFmtId="0" fontId="13" fillId="0" borderId="49" xfId="0" applyFont="1" applyBorder="1" applyAlignment="1">
      <alignment vertical="center" wrapText="1"/>
    </xf>
    <xf numFmtId="0" fontId="34" fillId="0" borderId="34" xfId="0" applyFont="1" applyBorder="1" applyAlignment="1">
      <alignment vertical="center" wrapText="1"/>
    </xf>
    <xf numFmtId="0" fontId="13" fillId="0" borderId="52" xfId="0" applyFont="1" applyBorder="1" applyAlignment="1">
      <alignment horizontal="left" vertical="center"/>
    </xf>
    <xf numFmtId="0" fontId="13" fillId="0" borderId="42" xfId="0" applyFont="1" applyBorder="1" applyAlignment="1">
      <alignment horizontal="left" vertical="center"/>
    </xf>
    <xf numFmtId="0" fontId="13" fillId="0" borderId="38" xfId="0" applyFont="1" applyBorder="1" applyAlignment="1">
      <alignment horizontal="left" vertical="center" wrapText="1"/>
    </xf>
    <xf numFmtId="0" fontId="13" fillId="26" borderId="52" xfId="0" applyFont="1" applyFill="1" applyBorder="1" applyAlignment="1">
      <alignment vertical="center" wrapText="1"/>
    </xf>
    <xf numFmtId="0" fontId="13" fillId="0" borderId="59" xfId="0" applyFont="1" applyBorder="1" applyAlignment="1">
      <alignment vertical="center" wrapText="1"/>
    </xf>
    <xf numFmtId="0" fontId="13" fillId="0" borderId="0" xfId="0" applyFont="1" applyAlignment="1">
      <alignment vertical="center"/>
    </xf>
    <xf numFmtId="0" fontId="13" fillId="0" borderId="13" xfId="0" applyFont="1" applyBorder="1" applyAlignment="1">
      <alignment horizontal="left" vertical="center" wrapText="1"/>
    </xf>
    <xf numFmtId="0" fontId="34" fillId="0" borderId="13" xfId="0" applyFont="1" applyBorder="1" applyAlignment="1">
      <alignment horizontal="left" vertical="center" wrapText="1"/>
    </xf>
    <xf numFmtId="0" fontId="13" fillId="0" borderId="20" xfId="0" applyFont="1" applyBorder="1" applyAlignment="1">
      <alignment vertical="center"/>
    </xf>
    <xf numFmtId="0" fontId="46" fillId="25" borderId="23" xfId="0" applyFont="1" applyFill="1" applyBorder="1" applyAlignment="1">
      <alignment vertical="center" wrapText="1"/>
    </xf>
    <xf numFmtId="0" fontId="46" fillId="25" borderId="18" xfId="0" applyFont="1" applyFill="1" applyBorder="1" applyAlignment="1">
      <alignment vertical="center" wrapText="1"/>
    </xf>
    <xf numFmtId="0" fontId="13" fillId="0" borderId="20" xfId="0" applyFont="1" applyBorder="1" applyAlignment="1">
      <alignment vertical="center" wrapText="1"/>
    </xf>
    <xf numFmtId="0" fontId="13" fillId="0" borderId="0" xfId="0" applyFont="1" applyAlignment="1">
      <alignment horizontal="left" vertical="center" wrapText="1"/>
    </xf>
    <xf numFmtId="0" fontId="13" fillId="0" borderId="18" xfId="0" applyFont="1" applyBorder="1" applyAlignment="1">
      <alignment horizontal="left" vertical="center" wrapText="1" indent="1"/>
    </xf>
    <xf numFmtId="0" fontId="13" fillId="0" borderId="52" xfId="0" applyFont="1" applyBorder="1" applyAlignment="1">
      <alignment horizontal="left" vertical="center" wrapText="1" indent="1"/>
    </xf>
    <xf numFmtId="0" fontId="13" fillId="0" borderId="42" xfId="0" applyFont="1" applyBorder="1" applyAlignment="1">
      <alignment horizontal="left" vertical="center" wrapText="1" indent="1"/>
    </xf>
    <xf numFmtId="0" fontId="13" fillId="0" borderId="0" xfId="0" applyFont="1" applyAlignment="1">
      <alignment horizontal="left" vertical="center" wrapText="1" indent="1"/>
    </xf>
    <xf numFmtId="0" fontId="51" fillId="0" borderId="37" xfId="0" applyFont="1" applyBorder="1" applyAlignment="1">
      <alignment horizontal="left" vertical="center"/>
    </xf>
    <xf numFmtId="0" fontId="34" fillId="0" borderId="21" xfId="0" applyFont="1" applyBorder="1" applyAlignment="1">
      <alignment horizontal="left" vertical="center"/>
    </xf>
    <xf numFmtId="0" fontId="51" fillId="0" borderId="18" xfId="0" applyFont="1" applyBorder="1" applyAlignment="1">
      <alignment horizontal="left" vertical="center"/>
    </xf>
    <xf numFmtId="0" fontId="6" fillId="0" borderId="41" xfId="0" applyFont="1" applyBorder="1" applyAlignment="1">
      <alignment vertical="center"/>
    </xf>
    <xf numFmtId="0" fontId="13" fillId="0" borderId="60" xfId="0" applyFont="1" applyBorder="1" applyAlignment="1">
      <alignment horizontal="left" vertical="center" wrapText="1" indent="1"/>
    </xf>
    <xf numFmtId="0" fontId="52" fillId="0" borderId="42" xfId="0" applyFont="1" applyBorder="1" applyAlignment="1">
      <alignment horizontal="left" vertical="center" indent="1"/>
    </xf>
    <xf numFmtId="0" fontId="13" fillId="0" borderId="18" xfId="0" applyFont="1" applyBorder="1" applyAlignment="1">
      <alignment horizontal="left" vertical="center" indent="1"/>
    </xf>
    <xf numFmtId="0" fontId="13" fillId="0" borderId="38" xfId="0" applyFont="1" applyBorder="1" applyAlignment="1">
      <alignment horizontal="left" vertical="center" indent="1"/>
    </xf>
    <xf numFmtId="0" fontId="51" fillId="0" borderId="41" xfId="0" applyFont="1" applyBorder="1" applyAlignment="1">
      <alignment horizontal="left" vertical="center"/>
    </xf>
    <xf numFmtId="0" fontId="11" fillId="0" borderId="19" xfId="0" applyFont="1" applyBorder="1" applyAlignment="1">
      <alignment horizontal="left" vertical="center"/>
    </xf>
    <xf numFmtId="0" fontId="13" fillId="0" borderId="19" xfId="0" applyFont="1" applyBorder="1" applyAlignment="1">
      <alignment horizontal="left" vertical="center" wrapText="1" indent="1"/>
    </xf>
    <xf numFmtId="0" fontId="6" fillId="26" borderId="18" xfId="0" applyFont="1" applyFill="1" applyBorder="1" applyAlignment="1">
      <alignment horizontal="left" vertical="center"/>
    </xf>
    <xf numFmtId="0" fontId="13" fillId="0" borderId="43" xfId="0" applyFont="1" applyBorder="1" applyAlignment="1">
      <alignment horizontal="left" vertical="center" wrapText="1" indent="1"/>
    </xf>
    <xf numFmtId="0" fontId="11" fillId="0" borderId="49" xfId="0" applyFont="1" applyBorder="1" applyAlignment="1">
      <alignment horizontal="left" vertical="center"/>
    </xf>
    <xf numFmtId="0" fontId="13" fillId="0" borderId="51" xfId="0" applyFont="1" applyBorder="1" applyAlignment="1">
      <alignment horizontal="left" vertical="center" wrapText="1" indent="1"/>
    </xf>
    <xf numFmtId="0" fontId="11" fillId="0" borderId="18" xfId="0" applyFont="1" applyBorder="1" applyAlignment="1">
      <alignment horizontal="left" vertical="center"/>
    </xf>
    <xf numFmtId="0" fontId="6" fillId="0" borderId="41" xfId="0" applyFont="1" applyBorder="1" applyAlignment="1">
      <alignment horizontal="left" vertical="center" wrapText="1"/>
    </xf>
    <xf numFmtId="0" fontId="13" fillId="0" borderId="0" xfId="0" applyFont="1" applyAlignment="1">
      <alignment horizontal="left" vertical="center" indent="1"/>
    </xf>
    <xf numFmtId="0" fontId="6" fillId="0" borderId="18" xfId="0" applyFont="1" applyBorder="1" applyAlignment="1">
      <alignment horizontal="left" vertical="center" wrapText="1"/>
    </xf>
    <xf numFmtId="0" fontId="54" fillId="0" borderId="23" xfId="0" applyFont="1" applyBorder="1" applyAlignment="1">
      <alignment horizontal="left" vertical="center" wrapText="1" indent="1"/>
    </xf>
    <xf numFmtId="0" fontId="24" fillId="0" borderId="0" xfId="0" applyFont="1" applyAlignment="1">
      <alignment horizontal="center" vertical="center"/>
    </xf>
    <xf numFmtId="0" fontId="24" fillId="0" borderId="0" xfId="0" applyFont="1" applyAlignment="1">
      <alignment vertical="center"/>
    </xf>
    <xf numFmtId="0" fontId="11" fillId="0" borderId="49" xfId="0" applyFont="1" applyBorder="1" applyAlignment="1">
      <alignment horizontal="center" vertical="center"/>
    </xf>
    <xf numFmtId="0" fontId="13" fillId="0" borderId="61" xfId="0" applyFont="1" applyBorder="1" applyAlignment="1">
      <alignment horizontal="left" vertical="center" indent="1"/>
    </xf>
    <xf numFmtId="0" fontId="13" fillId="26" borderId="52" xfId="0" applyFont="1" applyFill="1" applyBorder="1" applyAlignment="1">
      <alignment horizontal="left" vertical="center" indent="1"/>
    </xf>
    <xf numFmtId="0" fontId="55" fillId="25" borderId="52" xfId="0" applyFont="1" applyFill="1" applyBorder="1" applyAlignment="1">
      <alignment vertical="center" wrapText="1"/>
    </xf>
    <xf numFmtId="0" fontId="26" fillId="0" borderId="24" xfId="0" applyFont="1" applyBorder="1" applyAlignment="1">
      <alignment horizontal="center"/>
    </xf>
    <xf numFmtId="0" fontId="26" fillId="0" borderId="20" xfId="0" applyFont="1" applyBorder="1"/>
    <xf numFmtId="0" fontId="30" fillId="0" borderId="21" xfId="0" applyFont="1" applyBorder="1"/>
    <xf numFmtId="0" fontId="30" fillId="0" borderId="62" xfId="0" applyFont="1" applyBorder="1" applyAlignment="1">
      <alignment horizontal="center"/>
    </xf>
    <xf numFmtId="0" fontId="30" fillId="0" borderId="63" xfId="0" applyFont="1" applyBorder="1"/>
    <xf numFmtId="0" fontId="30" fillId="0" borderId="40" xfId="0" applyFont="1" applyBorder="1"/>
    <xf numFmtId="0" fontId="30" fillId="0" borderId="64" xfId="0" applyFont="1" applyBorder="1" applyAlignment="1">
      <alignment horizontal="center"/>
    </xf>
    <xf numFmtId="0" fontId="30" fillId="0" borderId="55" xfId="0" applyFont="1" applyBorder="1"/>
    <xf numFmtId="0" fontId="30" fillId="0" borderId="38" xfId="0" applyFont="1" applyBorder="1"/>
    <xf numFmtId="0" fontId="30" fillId="0" borderId="65" xfId="0" applyFont="1" applyBorder="1" applyAlignment="1">
      <alignment horizontal="center"/>
    </xf>
    <xf numFmtId="0" fontId="30" fillId="0" borderId="66" xfId="0" applyFont="1" applyBorder="1"/>
    <xf numFmtId="0" fontId="30" fillId="0" borderId="18" xfId="0" applyFont="1" applyBorder="1"/>
    <xf numFmtId="0" fontId="30" fillId="0" borderId="67" xfId="0" applyFont="1" applyBorder="1"/>
    <xf numFmtId="0" fontId="30" fillId="0" borderId="41" xfId="0" applyFont="1" applyBorder="1"/>
    <xf numFmtId="0" fontId="26" fillId="0" borderId="24" xfId="0" applyFont="1" applyBorder="1" applyAlignment="1">
      <alignment vertical="top"/>
    </xf>
    <xf numFmtId="0" fontId="26" fillId="0" borderId="53" xfId="0" applyFont="1" applyBorder="1" applyAlignment="1">
      <alignment vertical="top"/>
    </xf>
    <xf numFmtId="0" fontId="30" fillId="0" borderId="68" xfId="0" applyFont="1" applyBorder="1" applyAlignment="1">
      <alignment horizontal="center"/>
    </xf>
    <xf numFmtId="0" fontId="26" fillId="0" borderId="20" xfId="0" applyFont="1" applyBorder="1" applyAlignment="1">
      <alignment vertical="top"/>
    </xf>
    <xf numFmtId="0" fontId="30" fillId="0" borderId="28" xfId="0" applyFont="1" applyBorder="1" applyAlignment="1">
      <alignment horizontal="center"/>
    </xf>
    <xf numFmtId="0" fontId="30" fillId="0" borderId="32" xfId="0" applyFont="1" applyBorder="1"/>
    <xf numFmtId="0" fontId="30" fillId="0" borderId="34" xfId="0" applyFont="1" applyBorder="1"/>
    <xf numFmtId="0" fontId="30" fillId="0" borderId="69" xfId="0" applyFont="1" applyBorder="1" applyAlignment="1">
      <alignment horizontal="center"/>
    </xf>
    <xf numFmtId="0" fontId="30" fillId="0" borderId="70" xfId="0" applyFont="1" applyBorder="1"/>
    <xf numFmtId="0" fontId="30" fillId="0" borderId="49" xfId="0" applyFont="1" applyBorder="1"/>
    <xf numFmtId="0" fontId="26" fillId="0" borderId="24" xfId="0" quotePrefix="1" applyFont="1" applyBorder="1" applyAlignment="1">
      <alignment horizontal="center"/>
    </xf>
    <xf numFmtId="0" fontId="26" fillId="0" borderId="20" xfId="0" applyFont="1" applyBorder="1" applyAlignment="1">
      <alignment wrapText="1"/>
    </xf>
    <xf numFmtId="0" fontId="26" fillId="0" borderId="24" xfId="0" quotePrefix="1" applyFont="1" applyBorder="1" applyAlignment="1">
      <alignment horizontal="center" vertical="top"/>
    </xf>
    <xf numFmtId="0" fontId="30" fillId="0" borderId="37" xfId="0" applyFont="1" applyBorder="1"/>
    <xf numFmtId="0" fontId="26" fillId="0" borderId="10" xfId="0" quotePrefix="1" applyFont="1" applyBorder="1" applyAlignment="1">
      <alignment horizontal="center"/>
    </xf>
    <xf numFmtId="0" fontId="26" fillId="0" borderId="16" xfId="0" applyFont="1" applyBorder="1"/>
    <xf numFmtId="0" fontId="30" fillId="0" borderId="21" xfId="0" applyFont="1" applyBorder="1" applyAlignment="1">
      <alignment horizontal="center"/>
    </xf>
    <xf numFmtId="0" fontId="26" fillId="0" borderId="36" xfId="0" applyFont="1" applyBorder="1" applyAlignment="1">
      <alignment horizontal="center"/>
    </xf>
    <xf numFmtId="0" fontId="26" fillId="0" borderId="13" xfId="0" applyFont="1" applyBorder="1"/>
    <xf numFmtId="0" fontId="26" fillId="0" borderId="24" xfId="0" applyFont="1" applyBorder="1" applyAlignment="1">
      <alignment horizontal="center" vertical="top"/>
    </xf>
    <xf numFmtId="0" fontId="26" fillId="0" borderId="54" xfId="0" applyFont="1" applyBorder="1" applyAlignment="1">
      <alignment horizontal="center" vertical="top"/>
    </xf>
    <xf numFmtId="0" fontId="30" fillId="0" borderId="58" xfId="0" applyFont="1" applyBorder="1"/>
    <xf numFmtId="0" fontId="30" fillId="0" borderId="19" xfId="0" applyFont="1" applyBorder="1" applyAlignment="1">
      <alignment horizontal="center"/>
    </xf>
    <xf numFmtId="0" fontId="30" fillId="0" borderId="52" xfId="0" applyFont="1" applyBorder="1"/>
    <xf numFmtId="0" fontId="26" fillId="0" borderId="53" xfId="0" applyFont="1" applyBorder="1"/>
    <xf numFmtId="0" fontId="30" fillId="0" borderId="44" xfId="0" applyFont="1" applyBorder="1" applyAlignment="1">
      <alignment horizontal="center"/>
    </xf>
    <xf numFmtId="0" fontId="30" fillId="0" borderId="47" xfId="0" applyFont="1" applyBorder="1"/>
    <xf numFmtId="0" fontId="26" fillId="0" borderId="22" xfId="0" applyFont="1" applyBorder="1" applyAlignment="1">
      <alignment horizontal="center" vertical="top"/>
    </xf>
    <xf numFmtId="0" fontId="26" fillId="0" borderId="0" xfId="0" applyFont="1" applyAlignment="1">
      <alignment vertical="top"/>
    </xf>
    <xf numFmtId="0" fontId="30" fillId="0" borderId="66" xfId="0" applyFont="1" applyBorder="1" applyAlignment="1">
      <alignment wrapText="1"/>
    </xf>
    <xf numFmtId="0" fontId="30" fillId="0" borderId="22" xfId="0" applyFont="1" applyBorder="1" applyAlignment="1">
      <alignment horizontal="center"/>
    </xf>
    <xf numFmtId="0" fontId="30" fillId="0" borderId="55" xfId="0" applyFont="1" applyBorder="1" applyAlignment="1">
      <alignment vertical="top" wrapText="1"/>
    </xf>
    <xf numFmtId="0" fontId="26" fillId="0" borderId="20" xfId="0" applyFont="1" applyBorder="1" applyAlignment="1">
      <alignment horizontal="left"/>
    </xf>
    <xf numFmtId="0" fontId="26" fillId="0" borderId="54" xfId="0" applyFont="1" applyBorder="1" applyAlignment="1">
      <alignment horizontal="center"/>
    </xf>
    <xf numFmtId="0" fontId="26" fillId="0" borderId="22" xfId="0" applyFont="1" applyBorder="1" applyAlignment="1">
      <alignment horizontal="center"/>
    </xf>
    <xf numFmtId="0" fontId="26" fillId="0" borderId="0" xfId="0" applyFont="1" applyAlignment="1">
      <alignment horizontal="left"/>
    </xf>
    <xf numFmtId="0" fontId="48" fillId="26" borderId="38" xfId="0" applyFont="1" applyFill="1" applyBorder="1" applyAlignment="1">
      <alignment horizontal="left" vertical="center" wrapText="1"/>
    </xf>
    <xf numFmtId="0" fontId="13" fillId="26" borderId="38" xfId="0" applyFont="1" applyFill="1" applyBorder="1" applyAlignment="1">
      <alignment horizontal="left" vertical="center" wrapText="1"/>
    </xf>
    <xf numFmtId="0" fontId="6" fillId="0" borderId="59" xfId="0" applyFont="1" applyBorder="1" applyAlignment="1">
      <alignment horizontal="left" vertical="center"/>
    </xf>
    <xf numFmtId="0" fontId="13" fillId="26" borderId="37" xfId="0" applyFont="1" applyFill="1" applyBorder="1" applyAlignment="1">
      <alignment horizontal="left" vertical="center" wrapText="1"/>
    </xf>
    <xf numFmtId="0" fontId="13" fillId="26" borderId="18" xfId="0" applyFont="1" applyFill="1" applyBorder="1" applyAlignment="1">
      <alignment horizontal="left" vertical="center" wrapText="1"/>
    </xf>
    <xf numFmtId="0" fontId="13" fillId="27" borderId="38" xfId="0" applyFont="1" applyFill="1" applyBorder="1" applyAlignment="1">
      <alignment horizontal="left" vertical="center" wrapText="1"/>
    </xf>
    <xf numFmtId="0" fontId="14" fillId="24" borderId="71" xfId="0" applyFont="1" applyFill="1" applyBorder="1" applyAlignment="1">
      <alignment horizontal="center" vertical="center"/>
    </xf>
    <xf numFmtId="0" fontId="46" fillId="25" borderId="38" xfId="0" applyFont="1" applyFill="1" applyBorder="1" applyAlignment="1">
      <alignment horizontal="left" vertical="center" wrapText="1"/>
    </xf>
    <xf numFmtId="0" fontId="34" fillId="0" borderId="34" xfId="0" applyFont="1" applyBorder="1" applyAlignment="1">
      <alignment horizontal="left" vertical="center" wrapText="1"/>
    </xf>
    <xf numFmtId="0" fontId="46" fillId="25" borderId="42" xfId="0" applyFont="1" applyFill="1" applyBorder="1" applyAlignment="1">
      <alignment horizontal="left" vertical="center" wrapText="1"/>
    </xf>
    <xf numFmtId="0" fontId="46" fillId="25" borderId="18" xfId="0" applyFont="1" applyFill="1" applyBorder="1" applyAlignment="1">
      <alignment horizontal="left" vertical="center" wrapText="1"/>
    </xf>
    <xf numFmtId="0" fontId="34" fillId="0" borderId="36" xfId="0" applyFont="1" applyBorder="1" applyAlignment="1">
      <alignment horizontal="left" vertical="center" wrapText="1"/>
    </xf>
    <xf numFmtId="0" fontId="14" fillId="24" borderId="30" xfId="0" applyFont="1" applyFill="1" applyBorder="1" applyAlignment="1">
      <alignment vertical="center"/>
    </xf>
    <xf numFmtId="0" fontId="14" fillId="24" borderId="32" xfId="0" applyFont="1" applyFill="1" applyBorder="1" applyAlignment="1">
      <alignment vertical="center"/>
    </xf>
    <xf numFmtId="0" fontId="14" fillId="24" borderId="28" xfId="0" applyFont="1" applyFill="1" applyBorder="1" applyAlignment="1">
      <alignment vertical="center"/>
    </xf>
    <xf numFmtId="0" fontId="14" fillId="24" borderId="31" xfId="0" applyFont="1" applyFill="1" applyBorder="1" applyAlignment="1">
      <alignment vertical="center"/>
    </xf>
    <xf numFmtId="0" fontId="13" fillId="27" borderId="52" xfId="0" applyFont="1" applyFill="1" applyBorder="1" applyAlignment="1">
      <alignment horizontal="left" vertical="center" wrapText="1"/>
    </xf>
    <xf numFmtId="0" fontId="13" fillId="0" borderId="60" xfId="0" applyFont="1" applyBorder="1" applyAlignment="1">
      <alignment horizontal="left" vertical="center" wrapText="1"/>
    </xf>
    <xf numFmtId="0" fontId="13" fillId="0" borderId="56" xfId="0" applyFont="1" applyBorder="1" applyAlignment="1">
      <alignment horizontal="left" vertical="center" wrapText="1"/>
    </xf>
    <xf numFmtId="0" fontId="0" fillId="0" borderId="49" xfId="0" applyBorder="1" applyAlignment="1">
      <alignment horizontal="left" vertical="center"/>
    </xf>
    <xf numFmtId="0" fontId="13" fillId="0" borderId="57" xfId="0" applyFont="1" applyBorder="1" applyAlignment="1">
      <alignment horizontal="left" vertical="center" wrapText="1" indent="1"/>
    </xf>
    <xf numFmtId="0" fontId="34" fillId="0" borderId="24" xfId="0" applyFont="1" applyBorder="1" applyAlignment="1">
      <alignment horizontal="left" vertical="center" wrapText="1"/>
    </xf>
    <xf numFmtId="0" fontId="14" fillId="24" borderId="71" xfId="0" applyFont="1" applyFill="1" applyBorder="1" applyAlignment="1">
      <alignment vertical="center"/>
    </xf>
    <xf numFmtId="0" fontId="19" fillId="24" borderId="34" xfId="0" applyFont="1" applyFill="1" applyBorder="1" applyAlignment="1">
      <alignment horizontal="center" vertical="center"/>
    </xf>
    <xf numFmtId="0" fontId="13" fillId="0" borderId="13" xfId="0" applyFont="1" applyBorder="1" applyAlignment="1">
      <alignment horizontal="left" vertical="center" indent="1"/>
    </xf>
    <xf numFmtId="0" fontId="13" fillId="0" borderId="59" xfId="0" applyFont="1" applyBorder="1" applyAlignment="1">
      <alignment horizontal="left" vertical="center" wrapText="1" indent="1"/>
    </xf>
    <xf numFmtId="0" fontId="13" fillId="28" borderId="23" xfId="0" applyFont="1" applyFill="1" applyBorder="1" applyAlignment="1">
      <alignment horizontal="left" vertical="center" wrapText="1"/>
    </xf>
    <xf numFmtId="0" fontId="13" fillId="27" borderId="18" xfId="0" applyFont="1" applyFill="1" applyBorder="1" applyAlignment="1">
      <alignment horizontal="left" vertical="center" wrapText="1"/>
    </xf>
    <xf numFmtId="0" fontId="46" fillId="25" borderId="18" xfId="0" applyFont="1" applyFill="1" applyBorder="1" applyAlignment="1">
      <alignment horizontal="left" vertical="center"/>
    </xf>
    <xf numFmtId="0" fontId="13" fillId="27" borderId="23" xfId="0" applyFont="1" applyFill="1" applyBorder="1" applyAlignment="1">
      <alignment horizontal="left" vertical="center" wrapText="1"/>
    </xf>
    <xf numFmtId="0" fontId="13" fillId="0" borderId="41" xfId="0" applyFont="1" applyBorder="1" applyAlignment="1">
      <alignment horizontal="left" vertical="center"/>
    </xf>
    <xf numFmtId="0" fontId="13" fillId="27" borderId="19" xfId="0" applyFont="1" applyFill="1" applyBorder="1" applyAlignment="1">
      <alignment horizontal="left" vertical="center"/>
    </xf>
    <xf numFmtId="0" fontId="13" fillId="0" borderId="18" xfId="0" applyFont="1" applyBorder="1" applyAlignment="1">
      <alignment horizontal="left" vertical="center"/>
    </xf>
    <xf numFmtId="0" fontId="13" fillId="27" borderId="50" xfId="0" applyFont="1" applyFill="1" applyBorder="1" applyAlignment="1">
      <alignment horizontal="left" vertical="center" wrapText="1"/>
    </xf>
    <xf numFmtId="0" fontId="13" fillId="27" borderId="19" xfId="0" applyFont="1" applyFill="1" applyBorder="1" applyAlignment="1">
      <alignment horizontal="left" vertical="center" wrapText="1"/>
    </xf>
    <xf numFmtId="0" fontId="13" fillId="27" borderId="51" xfId="0" applyFont="1" applyFill="1" applyBorder="1" applyAlignment="1">
      <alignment horizontal="left" vertical="center" wrapText="1"/>
    </xf>
    <xf numFmtId="0" fontId="13" fillId="0" borderId="50" xfId="0" applyFont="1" applyBorder="1" applyAlignment="1">
      <alignment horizontal="left" vertical="center" wrapText="1"/>
    </xf>
    <xf numFmtId="0" fontId="46" fillId="25" borderId="50" xfId="0" applyFont="1" applyFill="1" applyBorder="1" applyAlignment="1">
      <alignment horizontal="left" vertical="center" wrapText="1"/>
    </xf>
    <xf numFmtId="0" fontId="13" fillId="0" borderId="19" xfId="0" applyFont="1" applyBorder="1" applyAlignment="1">
      <alignment horizontal="left" vertical="center" wrapText="1"/>
    </xf>
    <xf numFmtId="0" fontId="13" fillId="27" borderId="0" xfId="0" applyFont="1" applyFill="1" applyAlignment="1">
      <alignment horizontal="left" vertical="center" wrapText="1"/>
    </xf>
    <xf numFmtId="0" fontId="53" fillId="27" borderId="42" xfId="0" applyFont="1" applyFill="1" applyBorder="1" applyAlignment="1">
      <alignment horizontal="left" vertical="center" wrapText="1"/>
    </xf>
    <xf numFmtId="0" fontId="48" fillId="27" borderId="42" xfId="0" applyFont="1" applyFill="1" applyBorder="1" applyAlignment="1">
      <alignment horizontal="left" vertical="center" wrapText="1"/>
    </xf>
    <xf numFmtId="0" fontId="50" fillId="27" borderId="0" xfId="0" applyFont="1" applyFill="1" applyAlignment="1">
      <alignment horizontal="left" vertical="center" wrapText="1"/>
    </xf>
    <xf numFmtId="0" fontId="50" fillId="27" borderId="18" xfId="0" applyFont="1" applyFill="1" applyBorder="1" applyAlignment="1">
      <alignment horizontal="left" vertical="center" wrapText="1"/>
    </xf>
    <xf numFmtId="0" fontId="46" fillId="25" borderId="19" xfId="0" applyFont="1" applyFill="1" applyBorder="1" applyAlignment="1">
      <alignment horizontal="left" vertical="center" wrapText="1"/>
    </xf>
    <xf numFmtId="0" fontId="13" fillId="0" borderId="19" xfId="0" applyFont="1" applyBorder="1" applyAlignment="1">
      <alignment horizontal="left" vertical="top" wrapText="1"/>
    </xf>
    <xf numFmtId="0" fontId="13" fillId="26" borderId="23" xfId="0" applyFont="1" applyFill="1" applyBorder="1" applyAlignment="1">
      <alignment horizontal="left" vertical="center" wrapText="1"/>
    </xf>
    <xf numFmtId="0" fontId="32" fillId="0" borderId="40" xfId="0" applyFont="1" applyBorder="1" applyAlignment="1">
      <alignment horizontal="center" vertical="center"/>
    </xf>
    <xf numFmtId="0" fontId="32" fillId="0" borderId="18" xfId="0" applyFont="1" applyBorder="1" applyAlignment="1">
      <alignment horizontal="center" vertical="center"/>
    </xf>
    <xf numFmtId="0" fontId="34" fillId="25" borderId="23" xfId="0" applyFont="1" applyFill="1" applyBorder="1" applyAlignment="1">
      <alignment horizontal="left" vertical="center" wrapText="1"/>
    </xf>
    <xf numFmtId="0" fontId="11" fillId="0" borderId="0" xfId="0" applyFont="1" applyAlignment="1">
      <alignment horizontal="center" vertical="center"/>
    </xf>
    <xf numFmtId="0" fontId="24" fillId="26" borderId="0" xfId="0" applyFont="1" applyFill="1" applyAlignment="1">
      <alignment horizontal="center" vertical="center"/>
    </xf>
    <xf numFmtId="0" fontId="35" fillId="26" borderId="0" xfId="0" applyFont="1" applyFill="1" applyAlignment="1">
      <alignment vertical="center"/>
    </xf>
    <xf numFmtId="0" fontId="41" fillId="26" borderId="0" xfId="0" applyFont="1" applyFill="1" applyAlignment="1">
      <alignment vertical="center"/>
    </xf>
    <xf numFmtId="0" fontId="41" fillId="26" borderId="0" xfId="0" applyFont="1" applyFill="1"/>
    <xf numFmtId="0" fontId="11" fillId="26" borderId="0" xfId="0" applyFont="1" applyFill="1" applyAlignment="1">
      <alignment vertical="center"/>
    </xf>
    <xf numFmtId="0" fontId="40" fillId="26" borderId="0" xfId="0" applyFont="1" applyFill="1" applyAlignment="1">
      <alignment vertical="center"/>
    </xf>
    <xf numFmtId="0" fontId="0" fillId="26" borderId="0" xfId="0" applyFill="1" applyAlignment="1">
      <alignment horizontal="center" vertical="center"/>
    </xf>
    <xf numFmtId="0" fontId="34" fillId="26" borderId="0" xfId="0" applyFont="1" applyFill="1" applyAlignment="1">
      <alignment horizontal="center" vertical="center"/>
    </xf>
    <xf numFmtId="0" fontId="14" fillId="24" borderId="26" xfId="0" applyFont="1" applyFill="1" applyBorder="1" applyAlignment="1">
      <alignment horizontal="center" vertical="center"/>
    </xf>
    <xf numFmtId="0" fontId="0" fillId="29" borderId="26" xfId="0" applyFill="1" applyBorder="1" applyAlignment="1">
      <alignment vertical="center"/>
    </xf>
    <xf numFmtId="0" fontId="0" fillId="30" borderId="26" xfId="0" applyFill="1" applyBorder="1" applyAlignment="1">
      <alignment vertical="center"/>
    </xf>
    <xf numFmtId="0" fontId="15" fillId="25" borderId="26" xfId="0" applyFont="1" applyFill="1" applyBorder="1" applyAlignment="1">
      <alignment horizontal="center" vertical="center"/>
    </xf>
    <xf numFmtId="0" fontId="0" fillId="31" borderId="26" xfId="0" applyFill="1" applyBorder="1" applyAlignment="1">
      <alignment vertical="center"/>
    </xf>
    <xf numFmtId="0" fontId="32" fillId="26" borderId="0" xfId="0" applyFont="1" applyFill="1"/>
    <xf numFmtId="0" fontId="15" fillId="32" borderId="26" xfId="0" applyFont="1" applyFill="1" applyBorder="1" applyAlignment="1">
      <alignment horizontal="center" vertical="center"/>
    </xf>
    <xf numFmtId="0" fontId="0" fillId="27" borderId="26" xfId="0" applyFill="1" applyBorder="1" applyAlignment="1">
      <alignment vertical="center"/>
    </xf>
    <xf numFmtId="49" fontId="6" fillId="0" borderId="38" xfId="0" applyNumberFormat="1" applyFont="1" applyBorder="1" applyAlignment="1">
      <alignment horizontal="left" vertical="center"/>
    </xf>
    <xf numFmtId="49" fontId="6" fillId="0" borderId="50" xfId="0" applyNumberFormat="1" applyFont="1" applyBorder="1" applyAlignment="1">
      <alignment horizontal="left" vertical="center"/>
    </xf>
    <xf numFmtId="49" fontId="6" fillId="0" borderId="24" xfId="0" applyNumberFormat="1" applyFont="1" applyBorder="1" applyAlignment="1">
      <alignment horizontal="left" vertical="center"/>
    </xf>
    <xf numFmtId="49" fontId="6" fillId="0" borderId="19" xfId="0" applyNumberFormat="1" applyFont="1" applyBorder="1" applyAlignment="1">
      <alignment horizontal="left" vertical="center"/>
    </xf>
    <xf numFmtId="49" fontId="6" fillId="0" borderId="36" xfId="0" applyNumberFormat="1" applyFont="1" applyBorder="1" applyAlignment="1">
      <alignment horizontal="left" vertical="center"/>
    </xf>
    <xf numFmtId="49" fontId="6" fillId="0" borderId="37" xfId="0" applyNumberFormat="1" applyFont="1" applyBorder="1" applyAlignment="1">
      <alignment horizontal="left" vertical="center"/>
    </xf>
    <xf numFmtId="49" fontId="6" fillId="0" borderId="34" xfId="0" applyNumberFormat="1" applyFont="1" applyBorder="1" applyAlignment="1">
      <alignment horizontal="left" vertical="center"/>
    </xf>
    <xf numFmtId="49" fontId="6" fillId="0" borderId="58" xfId="0" applyNumberFormat="1" applyFont="1" applyBorder="1" applyAlignment="1">
      <alignment horizontal="left" vertical="center"/>
    </xf>
    <xf numFmtId="49" fontId="6" fillId="0" borderId="40" xfId="0" applyNumberFormat="1" applyFont="1" applyBorder="1" applyAlignment="1">
      <alignment horizontal="left" vertical="center"/>
    </xf>
    <xf numFmtId="49" fontId="6" fillId="0" borderId="18" xfId="0" applyNumberFormat="1" applyFont="1" applyBorder="1" applyAlignment="1">
      <alignment horizontal="left" vertical="center"/>
    </xf>
    <xf numFmtId="49" fontId="6" fillId="25" borderId="18" xfId="0" applyNumberFormat="1" applyFont="1" applyFill="1" applyBorder="1" applyAlignment="1">
      <alignment horizontal="left" vertical="center"/>
    </xf>
    <xf numFmtId="49" fontId="6" fillId="25" borderId="38" xfId="0" applyNumberFormat="1" applyFont="1" applyFill="1" applyBorder="1" applyAlignment="1">
      <alignment horizontal="left" vertical="center"/>
    </xf>
    <xf numFmtId="49" fontId="6" fillId="0" borderId="21" xfId="0" applyNumberFormat="1" applyFont="1" applyBorder="1" applyAlignment="1">
      <alignment horizontal="left" vertical="center"/>
    </xf>
    <xf numFmtId="49" fontId="6" fillId="0" borderId="24" xfId="0" applyNumberFormat="1" applyFont="1" applyBorder="1" applyAlignment="1">
      <alignment horizontal="left" vertical="center" wrapText="1"/>
    </xf>
    <xf numFmtId="49" fontId="6" fillId="26" borderId="19" xfId="0" applyNumberFormat="1" applyFont="1" applyFill="1" applyBorder="1" applyAlignment="1">
      <alignment horizontal="left" vertical="center"/>
    </xf>
    <xf numFmtId="49" fontId="6" fillId="0" borderId="41" xfId="0" applyNumberFormat="1" applyFont="1" applyBorder="1" applyAlignment="1">
      <alignment horizontal="left" vertical="center"/>
    </xf>
    <xf numFmtId="49" fontId="6" fillId="0" borderId="49" xfId="0" applyNumberFormat="1" applyFont="1" applyBorder="1" applyAlignment="1">
      <alignment horizontal="left" vertical="center"/>
    </xf>
    <xf numFmtId="49" fontId="16" fillId="0" borderId="21" xfId="0" applyNumberFormat="1" applyFont="1" applyBorder="1" applyAlignment="1">
      <alignment horizontal="left" vertical="center"/>
    </xf>
    <xf numFmtId="49" fontId="12" fillId="0" borderId="58" xfId="0" applyNumberFormat="1" applyFont="1" applyBorder="1" applyAlignment="1">
      <alignment horizontal="left" vertical="center"/>
    </xf>
    <xf numFmtId="49" fontId="6" fillId="0" borderId="22" xfId="0" applyNumberFormat="1" applyFont="1" applyBorder="1" applyAlignment="1">
      <alignment horizontal="left" vertical="center"/>
    </xf>
    <xf numFmtId="49" fontId="6" fillId="0" borderId="21" xfId="0" applyNumberFormat="1" applyFont="1" applyBorder="1" applyAlignment="1">
      <alignment horizontal="left" vertical="center" wrapText="1"/>
    </xf>
    <xf numFmtId="49" fontId="16" fillId="26" borderId="58" xfId="0" applyNumberFormat="1" applyFont="1" applyFill="1" applyBorder="1" applyAlignment="1">
      <alignment horizontal="left" vertical="center"/>
    </xf>
    <xf numFmtId="49" fontId="16" fillId="0" borderId="58" xfId="0" applyNumberFormat="1" applyFont="1" applyBorder="1" applyAlignment="1">
      <alignment horizontal="left" vertical="center"/>
    </xf>
    <xf numFmtId="49" fontId="6" fillId="0" borderId="34" xfId="0" applyNumberFormat="1" applyFont="1" applyBorder="1" applyAlignment="1">
      <alignment horizontal="left" vertical="center" wrapText="1"/>
    </xf>
    <xf numFmtId="49" fontId="6" fillId="26" borderId="18" xfId="0" applyNumberFormat="1" applyFont="1" applyFill="1" applyBorder="1" applyAlignment="1">
      <alignment horizontal="left" vertical="center"/>
    </xf>
    <xf numFmtId="49" fontId="7" fillId="0" borderId="19" xfId="0" applyNumberFormat="1" applyFont="1" applyBorder="1" applyAlignment="1">
      <alignment horizontal="left" vertical="center"/>
    </xf>
    <xf numFmtId="49" fontId="6" fillId="26" borderId="24" xfId="0" applyNumberFormat="1" applyFont="1" applyFill="1" applyBorder="1" applyAlignment="1">
      <alignment horizontal="left" vertical="center"/>
    </xf>
    <xf numFmtId="49" fontId="7" fillId="0" borderId="51" xfId="0" applyNumberFormat="1" applyFont="1" applyBorder="1" applyAlignment="1">
      <alignment horizontal="left" vertical="center"/>
    </xf>
    <xf numFmtId="49" fontId="6" fillId="26" borderId="50" xfId="0" applyNumberFormat="1" applyFont="1" applyFill="1" applyBorder="1" applyAlignment="1">
      <alignment horizontal="left" vertical="center"/>
    </xf>
    <xf numFmtId="49" fontId="6" fillId="26" borderId="36" xfId="0" applyNumberFormat="1" applyFont="1" applyFill="1" applyBorder="1" applyAlignment="1">
      <alignment horizontal="left" vertical="center"/>
    </xf>
    <xf numFmtId="49" fontId="7" fillId="0" borderId="18" xfId="0" applyNumberFormat="1" applyFont="1" applyBorder="1" applyAlignment="1">
      <alignment horizontal="left" vertical="center"/>
    </xf>
    <xf numFmtId="49" fontId="0" fillId="0" borderId="41" xfId="0" applyNumberFormat="1" applyBorder="1" applyAlignment="1">
      <alignment horizontal="left" vertical="center"/>
    </xf>
    <xf numFmtId="49" fontId="0" fillId="0" borderId="49" xfId="0" applyNumberFormat="1" applyBorder="1" applyAlignment="1">
      <alignment horizontal="left" vertical="center"/>
    </xf>
    <xf numFmtId="49" fontId="6" fillId="0" borderId="72" xfId="0" applyNumberFormat="1" applyFont="1" applyBorder="1" applyAlignment="1">
      <alignment horizontal="left" vertical="center"/>
    </xf>
    <xf numFmtId="49" fontId="6" fillId="0" borderId="49" xfId="0" applyNumberFormat="1" applyFont="1" applyBorder="1" applyAlignment="1">
      <alignment horizontal="left" vertical="center" wrapText="1"/>
    </xf>
    <xf numFmtId="49" fontId="12" fillId="0" borderId="34" xfId="0" applyNumberFormat="1" applyFont="1" applyBorder="1" applyAlignment="1">
      <alignment horizontal="left" vertical="center"/>
    </xf>
    <xf numFmtId="49" fontId="20" fillId="0" borderId="19" xfId="0" applyNumberFormat="1" applyFont="1" applyBorder="1" applyAlignment="1">
      <alignment horizontal="left" vertical="center"/>
    </xf>
    <xf numFmtId="49" fontId="11" fillId="0" borderId="18" xfId="0" applyNumberFormat="1" applyFont="1" applyBorder="1" applyAlignment="1">
      <alignment horizontal="left" vertical="center"/>
    </xf>
    <xf numFmtId="0" fontId="61" fillId="26" borderId="0" xfId="0" applyFont="1" applyFill="1" applyAlignment="1">
      <alignment vertical="center"/>
    </xf>
    <xf numFmtId="0" fontId="0" fillId="26" borderId="0" xfId="0" applyFill="1" applyAlignment="1">
      <alignment vertical="center" wrapText="1"/>
    </xf>
    <xf numFmtId="0" fontId="7" fillId="25" borderId="0" xfId="0" applyFont="1" applyFill="1" applyAlignment="1">
      <alignment vertical="center" textRotation="90" wrapText="1"/>
    </xf>
    <xf numFmtId="0" fontId="57" fillId="25" borderId="0" xfId="0" applyFont="1" applyFill="1" applyAlignment="1">
      <alignment vertical="center"/>
    </xf>
    <xf numFmtId="0" fontId="11" fillId="25" borderId="0" xfId="0" applyFont="1" applyFill="1" applyAlignment="1">
      <alignment vertical="center"/>
    </xf>
    <xf numFmtId="0" fontId="0" fillId="25" borderId="0" xfId="0" applyFill="1"/>
    <xf numFmtId="0" fontId="13" fillId="25" borderId="68" xfId="0" applyFont="1" applyFill="1" applyBorder="1" applyAlignment="1">
      <alignment horizontal="center" vertical="center"/>
    </xf>
    <xf numFmtId="204" fontId="13" fillId="25" borderId="73" xfId="38" applyNumberFormat="1" applyFont="1" applyFill="1" applyBorder="1" applyAlignment="1" applyProtection="1">
      <alignment horizontal="center" vertical="center"/>
    </xf>
    <xf numFmtId="0" fontId="59" fillId="25" borderId="53" xfId="0" applyFont="1" applyFill="1" applyBorder="1" applyAlignment="1">
      <alignment horizontal="center" vertical="center"/>
    </xf>
    <xf numFmtId="0" fontId="0" fillId="25" borderId="0" xfId="0" applyFill="1" applyAlignment="1">
      <alignment horizontal="center" vertical="center"/>
    </xf>
    <xf numFmtId="0" fontId="0" fillId="25" borderId="0" xfId="0" applyFill="1" applyAlignment="1">
      <alignment vertical="center" wrapText="1"/>
    </xf>
    <xf numFmtId="0" fontId="6" fillId="25" borderId="10" xfId="0" applyFont="1" applyFill="1" applyBorder="1" applyAlignment="1">
      <alignment horizontal="center" textRotation="90"/>
    </xf>
    <xf numFmtId="0" fontId="6" fillId="25" borderId="14" xfId="0" applyFont="1" applyFill="1" applyBorder="1" applyAlignment="1">
      <alignment horizontal="center" textRotation="90"/>
    </xf>
    <xf numFmtId="0" fontId="11" fillId="25" borderId="62" xfId="0" applyFont="1" applyFill="1" applyBorder="1" applyAlignment="1">
      <alignment vertical="center"/>
    </xf>
    <xf numFmtId="0" fontId="60" fillId="25" borderId="74" xfId="0" applyFont="1" applyFill="1" applyBorder="1" applyAlignment="1">
      <alignment vertical="center"/>
    </xf>
    <xf numFmtId="0" fontId="11" fillId="25" borderId="65" xfId="0" applyFont="1" applyFill="1" applyBorder="1" applyAlignment="1">
      <alignment vertical="center"/>
    </xf>
    <xf numFmtId="0" fontId="60" fillId="25" borderId="75" xfId="0" applyFont="1" applyFill="1" applyBorder="1" applyAlignment="1">
      <alignment vertical="center"/>
    </xf>
    <xf numFmtId="0" fontId="11" fillId="25" borderId="69" xfId="0" applyFont="1" applyFill="1" applyBorder="1" applyAlignment="1">
      <alignment vertical="center"/>
    </xf>
    <xf numFmtId="0" fontId="60" fillId="25" borderId="76" xfId="0" applyFont="1" applyFill="1" applyBorder="1" applyAlignment="1">
      <alignment vertical="center"/>
    </xf>
    <xf numFmtId="0" fontId="4" fillId="26" borderId="0" xfId="0" applyFont="1" applyFill="1" applyAlignment="1">
      <alignment vertical="center"/>
    </xf>
    <xf numFmtId="0" fontId="0" fillId="0" borderId="41" xfId="0" applyBorder="1" applyAlignment="1">
      <alignment horizontal="left" vertical="center"/>
    </xf>
    <xf numFmtId="0" fontId="32" fillId="0" borderId="18" xfId="0" applyFont="1" applyBorder="1" applyAlignment="1">
      <alignment vertical="center"/>
    </xf>
    <xf numFmtId="0" fontId="14" fillId="24" borderId="30" xfId="0" applyFont="1" applyFill="1" applyBorder="1" applyAlignment="1">
      <alignment horizontal="left" vertical="center"/>
    </xf>
    <xf numFmtId="0" fontId="14" fillId="24" borderId="28" xfId="0" applyFont="1" applyFill="1" applyBorder="1" applyAlignment="1">
      <alignment horizontal="left" vertical="center"/>
    </xf>
    <xf numFmtId="0" fontId="14" fillId="24" borderId="34" xfId="0" applyFont="1" applyFill="1" applyBorder="1" applyAlignment="1">
      <alignment horizontal="left" vertical="center"/>
    </xf>
    <xf numFmtId="0" fontId="0" fillId="24" borderId="34" xfId="0" applyFill="1" applyBorder="1" applyAlignment="1">
      <alignment horizontal="left" vertical="center"/>
    </xf>
    <xf numFmtId="0" fontId="0" fillId="24" borderId="34" xfId="0" applyFill="1" applyBorder="1" applyAlignment="1">
      <alignment vertical="center"/>
    </xf>
    <xf numFmtId="0" fontId="84" fillId="0" borderId="24" xfId="0" applyFont="1" applyBorder="1" applyAlignment="1">
      <alignment vertical="center" wrapText="1"/>
    </xf>
    <xf numFmtId="0" fontId="46" fillId="27" borderId="52" xfId="0" applyFont="1" applyFill="1" applyBorder="1" applyAlignment="1">
      <alignment horizontal="left" vertical="center" wrapText="1"/>
    </xf>
    <xf numFmtId="0" fontId="13" fillId="25" borderId="23" xfId="0" applyFont="1" applyFill="1" applyBorder="1" applyAlignment="1">
      <alignment horizontal="left" vertical="center" wrapText="1"/>
    </xf>
    <xf numFmtId="49" fontId="6" fillId="25" borderId="19" xfId="0" applyNumberFormat="1" applyFont="1" applyFill="1" applyBorder="1" applyAlignment="1">
      <alignment horizontal="left" vertical="center"/>
    </xf>
    <xf numFmtId="0" fontId="14" fillId="24" borderId="31" xfId="0" applyFont="1" applyFill="1" applyBorder="1" applyAlignment="1">
      <alignment horizontal="center" vertical="center"/>
    </xf>
    <xf numFmtId="0" fontId="13" fillId="0" borderId="61" xfId="0" applyFont="1" applyBorder="1" applyAlignment="1">
      <alignment horizontal="left" vertical="center" wrapText="1" indent="1"/>
    </xf>
    <xf numFmtId="0" fontId="0" fillId="0" borderId="61" xfId="0" applyBorder="1" applyAlignment="1">
      <alignment horizontal="left" vertical="center" indent="1"/>
    </xf>
    <xf numFmtId="0" fontId="0" fillId="33" borderId="26" xfId="0" applyFill="1" applyBorder="1" applyAlignment="1">
      <alignment vertical="center"/>
    </xf>
    <xf numFmtId="49" fontId="6" fillId="0" borderId="18" xfId="0" applyNumberFormat="1" applyFont="1" applyBorder="1" applyAlignment="1">
      <alignment vertical="center"/>
    </xf>
    <xf numFmtId="0" fontId="12" fillId="0" borderId="37" xfId="0" applyFont="1" applyBorder="1" applyAlignment="1">
      <alignment horizontal="left" vertical="center"/>
    </xf>
    <xf numFmtId="0" fontId="13" fillId="0" borderId="61" xfId="0" applyFont="1" applyBorder="1" applyAlignment="1">
      <alignment vertical="center" wrapText="1"/>
    </xf>
    <xf numFmtId="0" fontId="85" fillId="26" borderId="0" xfId="0" applyFont="1" applyFill="1" applyAlignment="1">
      <alignment vertical="center"/>
    </xf>
    <xf numFmtId="0" fontId="85" fillId="26" borderId="0" xfId="0" applyFont="1" applyFill="1" applyAlignment="1">
      <alignment horizontal="center" vertical="center"/>
    </xf>
    <xf numFmtId="0" fontId="85" fillId="26" borderId="0" xfId="0" applyFont="1" applyFill="1" applyAlignment="1">
      <alignment horizontal="right" vertical="center"/>
    </xf>
    <xf numFmtId="0" fontId="85" fillId="26" borderId="0" xfId="0" applyFont="1" applyFill="1" applyAlignment="1" applyProtection="1">
      <alignment horizontal="center" vertical="center"/>
      <protection locked="0"/>
    </xf>
    <xf numFmtId="0" fontId="14" fillId="24" borderId="34" xfId="0" applyFont="1" applyFill="1" applyBorder="1" applyAlignment="1">
      <alignment vertical="center"/>
    </xf>
    <xf numFmtId="0" fontId="6" fillId="0" borderId="34" xfId="0" applyFont="1" applyBorder="1" applyAlignment="1">
      <alignment horizontal="left" vertical="center"/>
    </xf>
    <xf numFmtId="0" fontId="34" fillId="0" borderId="36" xfId="0" applyFont="1" applyBorder="1" applyAlignment="1">
      <alignment vertical="center" wrapText="1"/>
    </xf>
    <xf numFmtId="0" fontId="0" fillId="24" borderId="36" xfId="0" applyFill="1" applyBorder="1" applyAlignment="1">
      <alignment horizontal="left" vertical="center"/>
    </xf>
    <xf numFmtId="0" fontId="34" fillId="0" borderId="36" xfId="0" applyFont="1" applyBorder="1" applyAlignment="1">
      <alignment vertical="center"/>
    </xf>
    <xf numFmtId="0" fontId="0" fillId="30" borderId="0" xfId="0" applyFill="1" applyAlignment="1">
      <alignment vertical="center" wrapText="1"/>
    </xf>
    <xf numFmtId="0" fontId="0" fillId="30" borderId="0" xfId="0" applyFill="1" applyAlignment="1">
      <alignment vertical="center"/>
    </xf>
    <xf numFmtId="0" fontId="87" fillId="30" borderId="0" xfId="0" applyFont="1" applyFill="1" applyAlignment="1">
      <alignment vertical="center"/>
    </xf>
    <xf numFmtId="0" fontId="85" fillId="26" borderId="0" xfId="0" applyFont="1" applyFill="1"/>
    <xf numFmtId="0" fontId="85" fillId="26" borderId="0" xfId="0" applyFont="1" applyFill="1" applyAlignment="1">
      <alignment horizontal="right" vertical="center" indent="5"/>
    </xf>
    <xf numFmtId="0" fontId="13" fillId="0" borderId="43" xfId="0" applyFont="1" applyBorder="1" applyAlignment="1">
      <alignment horizontal="left" vertical="center" wrapText="1"/>
    </xf>
    <xf numFmtId="0" fontId="34" fillId="0" borderId="42" xfId="0" applyFont="1" applyBorder="1" applyAlignment="1">
      <alignment horizontal="left" vertical="center" wrapText="1" indent="1"/>
    </xf>
    <xf numFmtId="0" fontId="34" fillId="0" borderId="24" xfId="0" applyFont="1" applyBorder="1" applyAlignment="1">
      <alignment vertical="center" wrapText="1"/>
    </xf>
    <xf numFmtId="0" fontId="49" fillId="0" borderId="40" xfId="0" applyFont="1" applyBorder="1" applyAlignment="1">
      <alignment horizontal="left" vertical="center"/>
    </xf>
    <xf numFmtId="0" fontId="34" fillId="0" borderId="18" xfId="0" applyFont="1" applyBorder="1" applyAlignment="1">
      <alignment horizontal="left" vertical="center" wrapText="1"/>
    </xf>
    <xf numFmtId="0" fontId="46" fillId="0" borderId="18" xfId="0" applyFont="1" applyBorder="1" applyAlignment="1">
      <alignment horizontal="left" vertical="center" wrapText="1"/>
    </xf>
    <xf numFmtId="0" fontId="13" fillId="25" borderId="19" xfId="0" applyFont="1" applyFill="1" applyBorder="1" applyAlignment="1">
      <alignment horizontal="left" vertical="center" wrapText="1"/>
    </xf>
    <xf numFmtId="0" fontId="14" fillId="24" borderId="33" xfId="0" applyFont="1" applyFill="1" applyBorder="1" applyAlignment="1">
      <alignment vertical="center"/>
    </xf>
    <xf numFmtId="0" fontId="24" fillId="0" borderId="38" xfId="0" applyFont="1" applyBorder="1" applyAlignment="1">
      <alignment horizontal="center" vertical="center"/>
    </xf>
    <xf numFmtId="0" fontId="24" fillId="0" borderId="37" xfId="0" applyFont="1" applyBorder="1" applyAlignment="1">
      <alignment horizontal="center" vertical="center"/>
    </xf>
    <xf numFmtId="0" fontId="6" fillId="24" borderId="18" xfId="0" applyFont="1" applyFill="1" applyBorder="1" applyAlignment="1">
      <alignment horizontal="center" vertical="center"/>
    </xf>
    <xf numFmtId="0" fontId="24" fillId="0" borderId="49" xfId="0" applyFont="1" applyBorder="1" applyAlignment="1">
      <alignment horizontal="center" vertical="center"/>
    </xf>
    <xf numFmtId="0" fontId="24" fillId="0" borderId="34" xfId="0" applyFont="1" applyBorder="1" applyAlignment="1">
      <alignment horizontal="center" vertical="center"/>
    </xf>
    <xf numFmtId="0" fontId="31" fillId="0" borderId="21" xfId="0" applyFont="1" applyBorder="1" applyAlignment="1">
      <alignment horizontal="center" textRotation="90"/>
    </xf>
    <xf numFmtId="0" fontId="10" fillId="24" borderId="34" xfId="0" applyFont="1" applyFill="1" applyBorder="1" applyAlignment="1">
      <alignment horizontal="center" vertical="center"/>
    </xf>
    <xf numFmtId="0" fontId="16" fillId="26" borderId="38" xfId="0" applyFont="1" applyFill="1" applyBorder="1" applyAlignment="1">
      <alignment horizontal="center" vertical="center"/>
    </xf>
    <xf numFmtId="0" fontId="16" fillId="26" borderId="18" xfId="0" applyFont="1" applyFill="1" applyBorder="1" applyAlignment="1">
      <alignment horizontal="center" vertical="center"/>
    </xf>
    <xf numFmtId="0" fontId="16" fillId="0" borderId="18" xfId="0" applyFont="1" applyBorder="1" applyAlignment="1">
      <alignment horizontal="center" vertical="center"/>
    </xf>
    <xf numFmtId="0" fontId="16" fillId="0" borderId="12" xfId="0" applyFont="1" applyBorder="1" applyAlignment="1">
      <alignment horizontal="center" vertical="center"/>
    </xf>
    <xf numFmtId="0" fontId="10" fillId="24" borderId="21" xfId="0" applyFont="1" applyFill="1" applyBorder="1" applyAlignment="1">
      <alignment horizontal="center" vertical="center"/>
    </xf>
    <xf numFmtId="0" fontId="16" fillId="0" borderId="38" xfId="0" applyFont="1" applyBorder="1" applyAlignment="1">
      <alignment horizontal="center" vertical="center"/>
    </xf>
    <xf numFmtId="0" fontId="24" fillId="0" borderId="18" xfId="0" applyFont="1" applyBorder="1" applyAlignment="1">
      <alignment horizontal="center" vertical="center"/>
    </xf>
    <xf numFmtId="0" fontId="16" fillId="0" borderId="41" xfId="0" applyFont="1" applyBorder="1" applyAlignment="1">
      <alignment horizontal="center" vertical="center"/>
    </xf>
    <xf numFmtId="0" fontId="16" fillId="0" borderId="11" xfId="0" applyFont="1" applyBorder="1" applyAlignment="1">
      <alignment horizontal="center" vertical="center"/>
    </xf>
    <xf numFmtId="0" fontId="18" fillId="24" borderId="21" xfId="0" applyFont="1" applyFill="1" applyBorder="1" applyAlignment="1">
      <alignment horizontal="center" vertical="center"/>
    </xf>
    <xf numFmtId="0" fontId="16" fillId="0" borderId="37" xfId="0" applyFont="1" applyBorder="1" applyAlignment="1">
      <alignment horizontal="center" vertical="center"/>
    </xf>
    <xf numFmtId="0" fontId="16" fillId="0" borderId="40" xfId="0" applyFont="1" applyBorder="1" applyAlignment="1">
      <alignment horizontal="center" vertical="center"/>
    </xf>
    <xf numFmtId="0" fontId="18" fillId="0" borderId="18" xfId="0" applyFont="1" applyBorder="1" applyAlignment="1">
      <alignment horizontal="center" vertical="center"/>
    </xf>
    <xf numFmtId="0" fontId="18" fillId="24" borderId="34" xfId="0" applyFont="1" applyFill="1" applyBorder="1" applyAlignment="1">
      <alignment horizontal="center" vertical="center"/>
    </xf>
    <xf numFmtId="0" fontId="24" fillId="26" borderId="18" xfId="0" applyFont="1" applyFill="1" applyBorder="1" applyAlignment="1">
      <alignment horizontal="center" vertical="center"/>
    </xf>
    <xf numFmtId="0" fontId="24" fillId="0" borderId="18" xfId="0" applyFont="1" applyBorder="1" applyAlignment="1">
      <alignment horizontal="center" vertical="center" wrapText="1"/>
    </xf>
    <xf numFmtId="0" fontId="16" fillId="0" borderId="39" xfId="0" applyFont="1" applyBorder="1" applyAlignment="1">
      <alignment horizontal="center" vertical="center"/>
    </xf>
    <xf numFmtId="0" fontId="24" fillId="0" borderId="21" xfId="0" applyFont="1" applyBorder="1" applyAlignment="1">
      <alignment horizontal="center" vertical="center"/>
    </xf>
    <xf numFmtId="0" fontId="11" fillId="0" borderId="18" xfId="0" applyFont="1" applyBorder="1" applyAlignment="1">
      <alignment horizontal="center" vertical="center"/>
    </xf>
    <xf numFmtId="0" fontId="11" fillId="24" borderId="21" xfId="0" applyFont="1" applyFill="1" applyBorder="1" applyAlignment="1">
      <alignment horizontal="center" vertical="center"/>
    </xf>
    <xf numFmtId="49" fontId="6" fillId="26" borderId="21" xfId="0" applyNumberFormat="1" applyFont="1" applyFill="1" applyBorder="1" applyAlignment="1">
      <alignment horizontal="left" vertical="center"/>
    </xf>
    <xf numFmtId="0" fontId="13" fillId="0" borderId="13" xfId="0" applyFont="1" applyBorder="1" applyAlignment="1">
      <alignment vertical="center" wrapText="1"/>
    </xf>
    <xf numFmtId="0" fontId="28" fillId="24" borderId="30" xfId="0" applyFont="1" applyFill="1" applyBorder="1" applyAlignment="1">
      <alignment horizontal="center" vertical="center"/>
    </xf>
    <xf numFmtId="0" fontId="28" fillId="24" borderId="32" xfId="0" applyFont="1" applyFill="1" applyBorder="1" applyAlignment="1">
      <alignment horizontal="center" vertical="center"/>
    </xf>
    <xf numFmtId="0" fontId="11" fillId="24" borderId="34" xfId="0" applyFont="1" applyFill="1" applyBorder="1" applyAlignment="1">
      <alignment horizontal="center" vertical="center"/>
    </xf>
    <xf numFmtId="0" fontId="29" fillId="24" borderId="30" xfId="0" applyFont="1" applyFill="1" applyBorder="1" applyAlignment="1">
      <alignment horizontal="center" vertical="center"/>
    </xf>
    <xf numFmtId="0" fontId="29" fillId="24" borderId="32" xfId="0" applyFont="1" applyFill="1" applyBorder="1" applyAlignment="1">
      <alignment horizontal="center" vertical="center"/>
    </xf>
    <xf numFmtId="0" fontId="29" fillId="24" borderId="28" xfId="0" applyFont="1" applyFill="1" applyBorder="1" applyAlignment="1">
      <alignment horizontal="center" vertical="center"/>
    </xf>
    <xf numFmtId="0" fontId="29" fillId="24" borderId="13" xfId="0" applyFont="1" applyFill="1" applyBorder="1" applyAlignment="1">
      <alignment horizontal="center" vertical="center"/>
    </xf>
    <xf numFmtId="0" fontId="13" fillId="0" borderId="61" xfId="0" applyFont="1" applyBorder="1" applyAlignment="1">
      <alignment vertical="center"/>
    </xf>
    <xf numFmtId="0" fontId="13" fillId="0" borderId="61" xfId="0" applyFont="1" applyBorder="1" applyAlignment="1">
      <alignment horizontal="left" vertical="center" wrapText="1"/>
    </xf>
    <xf numFmtId="0" fontId="16" fillId="0" borderId="56" xfId="0" applyFont="1" applyBorder="1" applyAlignment="1">
      <alignment horizontal="center" vertical="center"/>
    </xf>
    <xf numFmtId="0" fontId="16" fillId="0" borderId="43" xfId="0" applyFont="1" applyBorder="1" applyAlignment="1">
      <alignment horizontal="center" vertical="center"/>
    </xf>
    <xf numFmtId="0" fontId="16" fillId="0" borderId="35" xfId="0" applyFont="1" applyBorder="1" applyAlignment="1">
      <alignment horizontal="center" vertical="center"/>
    </xf>
    <xf numFmtId="0" fontId="16" fillId="0" borderId="77" xfId="0" applyFont="1" applyBorder="1" applyAlignment="1">
      <alignment horizontal="center" vertical="center"/>
    </xf>
    <xf numFmtId="0" fontId="18" fillId="24" borderId="29" xfId="0" applyFont="1" applyFill="1" applyBorder="1" applyAlignment="1">
      <alignment horizontal="center" vertical="center"/>
    </xf>
    <xf numFmtId="0" fontId="16" fillId="0" borderId="60" xfId="0" applyFont="1" applyBorder="1" applyAlignment="1">
      <alignment horizontal="center" vertical="center"/>
    </xf>
    <xf numFmtId="0" fontId="39" fillId="0" borderId="18" xfId="0" applyFont="1" applyBorder="1" applyAlignment="1">
      <alignment horizontal="center" vertical="center"/>
    </xf>
    <xf numFmtId="0" fontId="16" fillId="0" borderId="78" xfId="0" applyFont="1" applyBorder="1" applyAlignment="1">
      <alignment horizontal="center" vertical="center"/>
    </xf>
    <xf numFmtId="0" fontId="16" fillId="0" borderId="79" xfId="0" applyFont="1" applyBorder="1" applyAlignment="1">
      <alignment horizontal="center" vertical="center"/>
    </xf>
    <xf numFmtId="0" fontId="23" fillId="0" borderId="18" xfId="0" applyFont="1" applyBorder="1" applyAlignment="1">
      <alignment horizontal="center" vertical="center"/>
    </xf>
    <xf numFmtId="0" fontId="16" fillId="26" borderId="41" xfId="0" applyFont="1" applyFill="1" applyBorder="1" applyAlignment="1">
      <alignment horizontal="center" vertical="center"/>
    </xf>
    <xf numFmtId="0" fontId="34" fillId="0" borderId="34" xfId="0" applyFont="1" applyBorder="1" applyAlignment="1">
      <alignment horizontal="left" vertical="center"/>
    </xf>
    <xf numFmtId="0" fontId="13" fillId="0" borderId="49" xfId="0" applyFont="1" applyBorder="1" applyAlignment="1">
      <alignment horizontal="left" vertical="center" indent="1"/>
    </xf>
    <xf numFmtId="0" fontId="14" fillId="24" borderId="13" xfId="0" applyFont="1" applyFill="1" applyBorder="1" applyAlignment="1">
      <alignment vertical="center"/>
    </xf>
    <xf numFmtId="0" fontId="13" fillId="0" borderId="36" xfId="0" applyFont="1" applyBorder="1" applyAlignment="1">
      <alignment horizontal="left" vertical="center" wrapText="1" indent="1"/>
    </xf>
    <xf numFmtId="0" fontId="34" fillId="26" borderId="34" xfId="0" applyFont="1" applyFill="1" applyBorder="1" applyAlignment="1">
      <alignment horizontal="left" vertical="center" wrapText="1"/>
    </xf>
    <xf numFmtId="0" fontId="6" fillId="0" borderId="49" xfId="0" applyFont="1" applyBorder="1" applyAlignment="1">
      <alignment horizontal="left" vertical="center" wrapText="1"/>
    </xf>
    <xf numFmtId="0" fontId="34" fillId="0" borderId="61" xfId="0" applyFont="1" applyBorder="1" applyAlignment="1">
      <alignment horizontal="center" vertical="center" wrapText="1"/>
    </xf>
    <xf numFmtId="0" fontId="14" fillId="24" borderId="32" xfId="0" applyFont="1" applyFill="1" applyBorder="1" applyAlignment="1">
      <alignment horizontal="left" vertical="center"/>
    </xf>
    <xf numFmtId="0" fontId="14" fillId="24" borderId="31" xfId="0" applyFont="1" applyFill="1" applyBorder="1" applyAlignment="1">
      <alignment horizontal="left" vertical="center"/>
    </xf>
    <xf numFmtId="0" fontId="13" fillId="0" borderId="13" xfId="0" applyFont="1" applyBorder="1" applyAlignment="1">
      <alignment horizontal="left" vertical="center" wrapText="1" indent="1"/>
    </xf>
    <xf numFmtId="0" fontId="11" fillId="0" borderId="0" xfId="0" applyFont="1" applyAlignment="1">
      <alignment horizontal="center" vertical="center" textRotation="90"/>
    </xf>
    <xf numFmtId="0" fontId="24" fillId="0" borderId="0" xfId="0" applyFont="1" applyAlignment="1">
      <alignment horizontal="center" vertical="center" wrapText="1"/>
    </xf>
    <xf numFmtId="0" fontId="23" fillId="26" borderId="0" xfId="0" applyFont="1" applyFill="1" applyAlignment="1">
      <alignment horizontal="center" vertical="center" textRotation="90" wrapText="1"/>
    </xf>
    <xf numFmtId="0" fontId="23" fillId="26" borderId="0" xfId="0" applyFont="1" applyFill="1" applyAlignment="1">
      <alignment horizontal="center" vertical="center"/>
    </xf>
    <xf numFmtId="0" fontId="16" fillId="26" borderId="0" xfId="0" applyFont="1" applyFill="1" applyAlignment="1">
      <alignment horizontal="center" vertical="center"/>
    </xf>
    <xf numFmtId="49" fontId="6" fillId="0" borderId="38" xfId="0" applyNumberFormat="1" applyFont="1" applyBorder="1" applyAlignment="1">
      <alignment horizontal="left" vertical="center" wrapText="1"/>
    </xf>
    <xf numFmtId="49" fontId="6" fillId="0" borderId="18" xfId="0" applyNumberFormat="1" applyFont="1" applyBorder="1" applyAlignment="1">
      <alignment horizontal="left" vertical="center" wrapText="1"/>
    </xf>
    <xf numFmtId="0" fontId="11" fillId="0" borderId="21" xfId="0" applyFont="1" applyBorder="1" applyAlignment="1">
      <alignment vertical="center"/>
    </xf>
    <xf numFmtId="0" fontId="23" fillId="26" borderId="20" xfId="0" applyFont="1" applyFill="1" applyBorder="1" applyAlignment="1">
      <alignment horizontal="center" vertical="center"/>
    </xf>
    <xf numFmtId="0" fontId="23" fillId="26" borderId="29" xfId="0" applyFont="1" applyFill="1" applyBorder="1" applyAlignment="1">
      <alignment horizontal="center" vertical="center"/>
    </xf>
    <xf numFmtId="0" fontId="26" fillId="0" borderId="58" xfId="0" applyFont="1" applyBorder="1" applyAlignment="1">
      <alignment vertical="center" textRotation="90"/>
    </xf>
    <xf numFmtId="0" fontId="0" fillId="0" borderId="21" xfId="0" applyBorder="1" applyAlignment="1">
      <alignment horizontal="center"/>
    </xf>
    <xf numFmtId="0" fontId="0" fillId="0" borderId="37" xfId="0" applyBorder="1" applyAlignment="1">
      <alignment horizontal="center"/>
    </xf>
    <xf numFmtId="0" fontId="38" fillId="0" borderId="21" xfId="0" applyFont="1" applyBorder="1" applyAlignment="1">
      <alignment horizontal="center"/>
    </xf>
    <xf numFmtId="0" fontId="0" fillId="0" borderId="38" xfId="0" applyBorder="1" applyAlignment="1">
      <alignment horizontal="center"/>
    </xf>
    <xf numFmtId="0" fontId="38" fillId="0" borderId="40" xfId="0" applyFont="1" applyBorder="1" applyAlignment="1" applyProtection="1">
      <alignment horizontal="center"/>
      <protection locked="0"/>
    </xf>
    <xf numFmtId="0" fontId="38" fillId="0" borderId="38" xfId="0" applyFont="1" applyBorder="1" applyAlignment="1" applyProtection="1">
      <alignment horizontal="center"/>
      <protection locked="0"/>
    </xf>
    <xf numFmtId="0" fontId="0" fillId="0" borderId="41" xfId="0" applyBorder="1" applyAlignment="1">
      <alignment horizontal="center"/>
    </xf>
    <xf numFmtId="0" fontId="0" fillId="0" borderId="38" xfId="0" applyBorder="1"/>
    <xf numFmtId="0" fontId="0" fillId="0" borderId="18" xfId="0" applyBorder="1"/>
    <xf numFmtId="0" fontId="38" fillId="0" borderId="18" xfId="0" applyFont="1" applyBorder="1" applyAlignment="1" applyProtection="1">
      <alignment horizontal="center"/>
      <protection locked="0"/>
    </xf>
    <xf numFmtId="0" fontId="38" fillId="0" borderId="41" xfId="0" applyFont="1" applyBorder="1" applyAlignment="1" applyProtection="1">
      <alignment horizontal="center"/>
      <protection locked="0"/>
    </xf>
    <xf numFmtId="0" fontId="0" fillId="0" borderId="41" xfId="0" applyBorder="1"/>
    <xf numFmtId="0" fontId="0" fillId="0" borderId="49" xfId="0" applyBorder="1"/>
    <xf numFmtId="0" fontId="38" fillId="0" borderId="49" xfId="0" applyFont="1" applyBorder="1" applyAlignment="1" applyProtection="1">
      <alignment horizontal="center"/>
      <protection locked="0"/>
    </xf>
    <xf numFmtId="0" fontId="0" fillId="0" borderId="40" xfId="0" applyBorder="1"/>
    <xf numFmtId="0" fontId="0" fillId="0" borderId="18" xfId="0" applyBorder="1" applyAlignment="1" applyProtection="1">
      <alignment horizontal="center"/>
      <protection locked="0"/>
    </xf>
    <xf numFmtId="0" fontId="0" fillId="0" borderId="34" xfId="0" applyBorder="1" applyAlignment="1" applyProtection="1">
      <alignment horizontal="center"/>
      <protection locked="0"/>
    </xf>
    <xf numFmtId="0" fontId="38" fillId="0" borderId="34" xfId="0" applyFont="1" applyBorder="1" applyAlignment="1">
      <alignment horizontal="center"/>
    </xf>
    <xf numFmtId="0" fontId="38" fillId="0" borderId="58" xfId="0" applyFont="1" applyBorder="1" applyAlignment="1">
      <alignment horizontal="center"/>
    </xf>
    <xf numFmtId="0" fontId="38" fillId="0" borderId="34" xfId="0" applyFont="1" applyBorder="1" applyAlignment="1" applyProtection="1">
      <alignment horizontal="center"/>
      <protection locked="0"/>
    </xf>
    <xf numFmtId="0" fontId="38" fillId="0" borderId="58" xfId="0" applyFont="1" applyBorder="1" applyAlignment="1" applyProtection="1">
      <alignment horizontal="center"/>
      <protection locked="0"/>
    </xf>
    <xf numFmtId="0" fontId="38" fillId="0" borderId="37" xfId="0" applyFont="1" applyBorder="1" applyAlignment="1">
      <alignment horizontal="center"/>
    </xf>
    <xf numFmtId="0" fontId="0" fillId="0" borderId="58" xfId="0" applyBorder="1" applyAlignment="1">
      <alignment horizontal="center"/>
    </xf>
    <xf numFmtId="0" fontId="38" fillId="0" borderId="40" xfId="0" applyFont="1" applyBorder="1" applyAlignment="1" applyProtection="1">
      <alignment horizontal="left"/>
      <protection locked="0"/>
    </xf>
    <xf numFmtId="0" fontId="38" fillId="0" borderId="38" xfId="0" applyFont="1" applyBorder="1" applyAlignment="1" applyProtection="1">
      <alignment horizontal="left"/>
      <protection locked="0"/>
    </xf>
    <xf numFmtId="0" fontId="38" fillId="0" borderId="41" xfId="0" applyFont="1" applyBorder="1" applyAlignment="1" applyProtection="1">
      <alignment horizontal="left"/>
      <protection locked="0"/>
    </xf>
    <xf numFmtId="0" fontId="38" fillId="0" borderId="49" xfId="0" applyFont="1" applyBorder="1" applyAlignment="1" applyProtection="1">
      <alignment horizontal="left"/>
      <protection locked="0"/>
    </xf>
    <xf numFmtId="0" fontId="30" fillId="0" borderId="21" xfId="0" applyFont="1" applyBorder="1" applyAlignment="1">
      <alignment horizontal="left"/>
    </xf>
    <xf numFmtId="0" fontId="38" fillId="0" borderId="18" xfId="0" applyFont="1" applyBorder="1" applyAlignment="1" applyProtection="1">
      <alignment horizontal="left"/>
      <protection locked="0"/>
    </xf>
    <xf numFmtId="0" fontId="38" fillId="0" borderId="21" xfId="0" applyFont="1" applyBorder="1" applyAlignment="1">
      <alignment horizontal="left"/>
    </xf>
    <xf numFmtId="0" fontId="30" fillId="0" borderId="58" xfId="0" applyFont="1" applyBorder="1" applyAlignment="1">
      <alignment horizontal="center"/>
    </xf>
    <xf numFmtId="0" fontId="38" fillId="0" borderId="37" xfId="0" applyFont="1" applyBorder="1" applyAlignment="1" applyProtection="1">
      <alignment horizontal="center"/>
      <protection locked="0"/>
    </xf>
    <xf numFmtId="0" fontId="24" fillId="35" borderId="0" xfId="0" applyFont="1" applyFill="1" applyAlignment="1">
      <alignment horizontal="center" vertical="center"/>
    </xf>
    <xf numFmtId="0" fontId="13" fillId="36" borderId="23" xfId="0" applyFont="1" applyFill="1" applyBorder="1" applyAlignment="1">
      <alignment horizontal="left" vertical="center" wrapText="1"/>
    </xf>
    <xf numFmtId="0" fontId="13" fillId="35" borderId="52" xfId="0" applyFont="1" applyFill="1" applyBorder="1" applyAlignment="1">
      <alignment horizontal="left" vertical="center" wrapText="1"/>
    </xf>
    <xf numFmtId="0" fontId="24" fillId="26" borderId="38" xfId="0" applyFont="1" applyFill="1" applyBorder="1" applyAlignment="1">
      <alignment horizontal="center" vertical="center"/>
    </xf>
    <xf numFmtId="0" fontId="34" fillId="0" borderId="33" xfId="0" applyFont="1" applyBorder="1" applyAlignment="1">
      <alignment horizontal="left" vertical="center" wrapText="1"/>
    </xf>
    <xf numFmtId="0" fontId="13" fillId="26" borderId="43" xfId="0" applyFont="1" applyFill="1" applyBorder="1" applyAlignment="1">
      <alignment horizontal="left" vertical="center" wrapText="1"/>
    </xf>
    <xf numFmtId="0" fontId="13" fillId="35" borderId="23" xfId="0" applyFont="1" applyFill="1" applyBorder="1" applyAlignment="1">
      <alignment horizontal="left" vertical="center" wrapText="1"/>
    </xf>
    <xf numFmtId="0" fontId="13" fillId="35" borderId="23" xfId="0" applyFont="1" applyFill="1" applyBorder="1" applyAlignment="1">
      <alignment horizontal="left" vertical="top" wrapText="1"/>
    </xf>
    <xf numFmtId="0" fontId="24" fillId="35" borderId="18" xfId="0" applyFont="1" applyFill="1" applyBorder="1" applyAlignment="1">
      <alignment horizontal="center" vertical="center"/>
    </xf>
    <xf numFmtId="49" fontId="6" fillId="35" borderId="38" xfId="0" applyNumberFormat="1" applyFont="1" applyFill="1" applyBorder="1" applyAlignment="1">
      <alignment horizontal="left" vertical="center"/>
    </xf>
    <xf numFmtId="49" fontId="6" fillId="35" borderId="18" xfId="0" applyNumberFormat="1" applyFont="1" applyFill="1" applyBorder="1" applyAlignment="1">
      <alignment horizontal="left" vertical="center"/>
    </xf>
    <xf numFmtId="0" fontId="90" fillId="0" borderId="18" xfId="0" applyFont="1" applyBorder="1" applyAlignment="1">
      <alignment horizontal="left" vertical="center" wrapText="1"/>
    </xf>
    <xf numFmtId="0" fontId="13" fillId="35" borderId="18" xfId="0" applyFont="1" applyFill="1" applyBorder="1" applyAlignment="1">
      <alignment horizontal="left" vertical="center" wrapText="1"/>
    </xf>
    <xf numFmtId="0" fontId="90" fillId="35" borderId="18" xfId="0" applyFont="1" applyFill="1" applyBorder="1" applyAlignment="1">
      <alignment horizontal="left" vertical="center" wrapText="1"/>
    </xf>
    <xf numFmtId="0" fontId="89" fillId="0" borderId="21" xfId="0" applyFont="1" applyBorder="1" applyAlignment="1">
      <alignment horizontal="left" vertical="center" wrapText="1"/>
    </xf>
    <xf numFmtId="0" fontId="90" fillId="26" borderId="38" xfId="0" applyFont="1" applyFill="1" applyBorder="1" applyAlignment="1">
      <alignment horizontal="left" vertical="center" wrapText="1"/>
    </xf>
    <xf numFmtId="0" fontId="6" fillId="24" borderId="41" xfId="0" applyFont="1" applyFill="1" applyBorder="1" applyAlignment="1" applyProtection="1">
      <alignment horizontal="center" vertical="center"/>
      <protection locked="0"/>
    </xf>
    <xf numFmtId="0" fontId="14" fillId="24" borderId="29" xfId="0" applyFont="1" applyFill="1" applyBorder="1" applyAlignment="1">
      <alignment horizontal="center" vertical="center"/>
    </xf>
    <xf numFmtId="0" fontId="13" fillId="0" borderId="82" xfId="0" applyFont="1" applyBorder="1" applyAlignment="1">
      <alignment horizontal="left" vertical="center" wrapText="1"/>
    </xf>
    <xf numFmtId="0" fontId="13" fillId="0" borderId="0" xfId="0" applyFont="1" applyAlignment="1">
      <alignment horizontal="left" vertical="center"/>
    </xf>
    <xf numFmtId="0" fontId="13" fillId="37" borderId="60" xfId="0" applyFont="1" applyFill="1" applyBorder="1" applyAlignment="1">
      <alignment horizontal="left" vertical="center" wrapText="1"/>
    </xf>
    <xf numFmtId="0" fontId="11" fillId="0" borderId="38" xfId="0" applyFont="1" applyBorder="1" applyAlignment="1">
      <alignment horizontal="center" vertical="center"/>
    </xf>
    <xf numFmtId="0" fontId="32" fillId="0" borderId="37" xfId="0" applyFont="1" applyBorder="1" applyAlignment="1">
      <alignment vertical="center"/>
    </xf>
    <xf numFmtId="0" fontId="15" fillId="0" borderId="37" xfId="0" applyFont="1" applyBorder="1" applyAlignment="1">
      <alignment horizontal="center" vertical="center"/>
    </xf>
    <xf numFmtId="0" fontId="34" fillId="0" borderId="18" xfId="0" applyFont="1" applyBorder="1" applyAlignment="1">
      <alignment vertical="center" wrapText="1"/>
    </xf>
    <xf numFmtId="49" fontId="16" fillId="0" borderId="40" xfId="0" applyNumberFormat="1" applyFont="1" applyBorder="1" applyAlignment="1">
      <alignment horizontal="left" vertical="center"/>
    </xf>
    <xf numFmtId="0" fontId="34" fillId="0" borderId="82" xfId="0" applyFont="1" applyBorder="1" applyAlignment="1">
      <alignment horizontal="left" vertical="center" wrapText="1"/>
    </xf>
    <xf numFmtId="0" fontId="13" fillId="35" borderId="42" xfId="0" applyFont="1" applyFill="1" applyBorder="1" applyAlignment="1">
      <alignment horizontal="left" vertical="center" wrapText="1"/>
    </xf>
    <xf numFmtId="0" fontId="32" fillId="0" borderId="37" xfId="0" applyFont="1" applyBorder="1" applyAlignment="1">
      <alignment horizontal="center" vertical="center"/>
    </xf>
    <xf numFmtId="1" fontId="6" fillId="0" borderId="18" xfId="0" applyNumberFormat="1" applyFont="1" applyBorder="1" applyAlignment="1">
      <alignment horizontal="left" vertical="center"/>
    </xf>
    <xf numFmtId="1" fontId="6" fillId="0" borderId="18" xfId="0" applyNumberFormat="1" applyFont="1" applyBorder="1" applyAlignment="1">
      <alignment horizontal="left" vertical="center" wrapText="1"/>
    </xf>
    <xf numFmtId="1" fontId="6" fillId="26" borderId="19" xfId="0" applyNumberFormat="1" applyFont="1" applyFill="1" applyBorder="1" applyAlignment="1">
      <alignment horizontal="left" vertical="center"/>
    </xf>
    <xf numFmtId="1" fontId="6" fillId="0" borderId="38" xfId="0" applyNumberFormat="1" applyFont="1" applyBorder="1" applyAlignment="1">
      <alignment horizontal="left" vertical="center"/>
    </xf>
    <xf numFmtId="0" fontId="24" fillId="0" borderId="65" xfId="0" applyFont="1" applyBorder="1" applyAlignment="1">
      <alignment horizontal="center" vertical="center"/>
    </xf>
    <xf numFmtId="0" fontId="6" fillId="26" borderId="34" xfId="0" applyFont="1" applyFill="1" applyBorder="1" applyAlignment="1">
      <alignment horizontal="left" vertical="center" wrapText="1"/>
    </xf>
    <xf numFmtId="49" fontId="6" fillId="37" borderId="18" xfId="0" applyNumberFormat="1" applyFont="1" applyFill="1" applyBorder="1" applyAlignment="1">
      <alignment horizontal="left" vertical="center"/>
    </xf>
    <xf numFmtId="0" fontId="13" fillId="37" borderId="18" xfId="0" applyFont="1" applyFill="1" applyBorder="1" applyAlignment="1">
      <alignment horizontal="left" vertical="center" wrapText="1"/>
    </xf>
    <xf numFmtId="0" fontId="6" fillId="0" borderId="38" xfId="0" applyFont="1" applyBorder="1" applyAlignment="1">
      <alignment horizontal="center" vertical="center"/>
    </xf>
    <xf numFmtId="0" fontId="13" fillId="0" borderId="20" xfId="0" applyFont="1" applyBorder="1" applyAlignment="1">
      <alignment horizontal="left" vertical="center"/>
    </xf>
    <xf numFmtId="0" fontId="14" fillId="24" borderId="30" xfId="0" applyFont="1" applyFill="1" applyBorder="1" applyAlignment="1">
      <alignment horizontal="center" vertical="center"/>
    </xf>
    <xf numFmtId="0" fontId="14" fillId="24" borderId="28" xfId="0" applyFont="1" applyFill="1" applyBorder="1" applyAlignment="1">
      <alignment horizontal="center" vertical="center"/>
    </xf>
    <xf numFmtId="0" fontId="14" fillId="24" borderId="24" xfId="0" applyFont="1" applyFill="1" applyBorder="1" applyAlignment="1">
      <alignment horizontal="center" vertical="center"/>
    </xf>
    <xf numFmtId="0" fontId="14" fillId="24" borderId="13" xfId="0" applyFont="1" applyFill="1" applyBorder="1" applyAlignment="1">
      <alignment horizontal="center" vertical="center"/>
    </xf>
    <xf numFmtId="49" fontId="16" fillId="0" borderId="34" xfId="0" applyNumberFormat="1" applyFont="1" applyBorder="1" applyAlignment="1">
      <alignment horizontal="left" vertical="center"/>
    </xf>
    <xf numFmtId="49" fontId="6" fillId="0" borderId="56" xfId="0" applyNumberFormat="1" applyFont="1" applyBorder="1" applyAlignment="1">
      <alignment horizontal="left" vertical="center"/>
    </xf>
    <xf numFmtId="0" fontId="32" fillId="0" borderId="38" xfId="0" applyFont="1" applyBorder="1" applyAlignment="1" applyProtection="1">
      <alignment horizontal="center" vertical="center"/>
      <protection locked="0"/>
    </xf>
    <xf numFmtId="0" fontId="16" fillId="0" borderId="81" xfId="0" applyFont="1" applyBorder="1" applyAlignment="1">
      <alignment horizontal="center" vertical="center"/>
    </xf>
    <xf numFmtId="0" fontId="14" fillId="24" borderId="34" xfId="0" applyFont="1" applyFill="1" applyBorder="1" applyAlignment="1">
      <alignment horizontal="center" vertical="center"/>
    </xf>
    <xf numFmtId="0" fontId="8" fillId="24" borderId="34" xfId="0" applyFont="1" applyFill="1" applyBorder="1" applyAlignment="1">
      <alignment horizontal="center" vertical="center"/>
    </xf>
    <xf numFmtId="0" fontId="47" fillId="0" borderId="61" xfId="0" applyFont="1" applyBorder="1" applyAlignment="1">
      <alignment vertical="center" wrapText="1"/>
    </xf>
    <xf numFmtId="0" fontId="88" fillId="0" borderId="72" xfId="0" applyFont="1" applyBorder="1" applyAlignment="1">
      <alignment horizontal="left" vertical="center" wrapText="1"/>
    </xf>
    <xf numFmtId="0" fontId="91" fillId="0" borderId="38" xfId="0" applyFont="1" applyBorder="1" applyAlignment="1">
      <alignment horizontal="center" vertical="center"/>
    </xf>
    <xf numFmtId="0" fontId="91" fillId="0" borderId="18" xfId="0" applyFont="1" applyBorder="1" applyAlignment="1">
      <alignment horizontal="center" vertical="center"/>
    </xf>
    <xf numFmtId="0" fontId="13" fillId="38" borderId="52" xfId="0" applyFont="1" applyFill="1" applyBorder="1" applyAlignment="1">
      <alignment horizontal="left" vertical="center" wrapText="1"/>
    </xf>
    <xf numFmtId="0" fontId="13" fillId="37" borderId="19" xfId="0" applyFont="1" applyFill="1" applyBorder="1" applyAlignment="1">
      <alignment horizontal="left" vertical="center" wrapText="1"/>
    </xf>
    <xf numFmtId="0" fontId="24" fillId="0" borderId="40" xfId="0" applyFont="1" applyBorder="1" applyAlignment="1">
      <alignment horizontal="center" vertical="center"/>
    </xf>
    <xf numFmtId="0" fontId="16" fillId="26" borderId="37" xfId="0" applyFont="1" applyFill="1" applyBorder="1" applyAlignment="1">
      <alignment horizontal="center" vertical="center"/>
    </xf>
    <xf numFmtId="0" fontId="13" fillId="0" borderId="37" xfId="0" applyFont="1" applyBorder="1" applyAlignment="1">
      <alignment horizontal="left" vertical="center" wrapText="1"/>
    </xf>
    <xf numFmtId="0" fontId="6" fillId="39" borderId="38" xfId="0" applyFont="1" applyFill="1" applyBorder="1" applyAlignment="1">
      <alignment horizontal="center" vertical="center"/>
    </xf>
    <xf numFmtId="0" fontId="6" fillId="39" borderId="38" xfId="0" applyFont="1" applyFill="1" applyBorder="1" applyAlignment="1" applyProtection="1">
      <alignment horizontal="center" vertical="center"/>
      <protection locked="0"/>
    </xf>
    <xf numFmtId="0" fontId="13" fillId="37" borderId="41" xfId="0" applyFont="1" applyFill="1" applyBorder="1" applyAlignment="1">
      <alignment horizontal="left" vertical="center" wrapText="1"/>
    </xf>
    <xf numFmtId="0" fontId="13" fillId="0" borderId="41" xfId="0" applyFont="1" applyBorder="1" applyAlignment="1">
      <alignment horizontal="left" vertical="center" wrapText="1"/>
    </xf>
    <xf numFmtId="0" fontId="6" fillId="39" borderId="18" xfId="0" applyFont="1" applyFill="1" applyBorder="1" applyAlignment="1">
      <alignment horizontal="center" vertical="center"/>
    </xf>
    <xf numFmtId="0" fontId="6" fillId="0" borderId="72" xfId="0" applyFont="1" applyBorder="1" applyAlignment="1">
      <alignment horizontal="left" vertical="center"/>
    </xf>
    <xf numFmtId="0" fontId="34" fillId="0" borderId="72" xfId="0" applyFont="1" applyBorder="1" applyAlignment="1">
      <alignment vertical="center" wrapText="1"/>
    </xf>
    <xf numFmtId="0" fontId="6" fillId="24" borderId="37" xfId="0" applyFont="1" applyFill="1" applyBorder="1" applyAlignment="1" applyProtection="1">
      <alignment horizontal="center" vertical="center"/>
      <protection locked="0"/>
    </xf>
    <xf numFmtId="0" fontId="32" fillId="24" borderId="37" xfId="0" applyFont="1" applyFill="1" applyBorder="1" applyAlignment="1">
      <alignment horizontal="center" vertical="center"/>
    </xf>
    <xf numFmtId="0" fontId="34" fillId="0" borderId="23" xfId="0" applyFont="1" applyBorder="1" applyAlignment="1">
      <alignment horizontal="right" vertical="center" wrapText="1"/>
    </xf>
    <xf numFmtId="49" fontId="7" fillId="0" borderId="50" xfId="0" applyNumberFormat="1" applyFont="1" applyBorder="1" applyAlignment="1">
      <alignment horizontal="left" vertical="center"/>
    </xf>
    <xf numFmtId="0" fontId="15" fillId="37" borderId="18" xfId="0" applyFont="1" applyFill="1" applyBorder="1" applyAlignment="1">
      <alignment horizontal="center" vertical="center"/>
    </xf>
    <xf numFmtId="0" fontId="15" fillId="37" borderId="41" xfId="0" applyFont="1" applyFill="1" applyBorder="1" applyAlignment="1">
      <alignment horizontal="center" vertical="center"/>
    </xf>
    <xf numFmtId="0" fontId="3" fillId="35" borderId="0" xfId="48" applyFill="1"/>
    <xf numFmtId="0" fontId="3" fillId="35" borderId="0" xfId="48" applyFill="1" applyProtection="1">
      <protection locked="0"/>
    </xf>
    <xf numFmtId="0" fontId="102" fillId="35" borderId="0" xfId="46" applyFill="1"/>
    <xf numFmtId="0" fontId="103" fillId="35" borderId="0" xfId="48" applyFont="1" applyFill="1"/>
    <xf numFmtId="0" fontId="3" fillId="35" borderId="10" xfId="48" applyFill="1" applyBorder="1"/>
    <xf numFmtId="0" fontId="3" fillId="35" borderId="17" xfId="48" applyFill="1" applyBorder="1"/>
    <xf numFmtId="0" fontId="3" fillId="35" borderId="14" xfId="48" applyFill="1" applyBorder="1"/>
    <xf numFmtId="0" fontId="3" fillId="35" borderId="54" xfId="48" applyFill="1" applyBorder="1"/>
    <xf numFmtId="0" fontId="3" fillId="35" borderId="139" xfId="48" applyFill="1" applyBorder="1"/>
    <xf numFmtId="0" fontId="3" fillId="35" borderId="140" xfId="48" applyFill="1" applyBorder="1"/>
    <xf numFmtId="0" fontId="3" fillId="35" borderId="141" xfId="48" applyFill="1" applyBorder="1"/>
    <xf numFmtId="0" fontId="104" fillId="35" borderId="40" xfId="48" applyFont="1" applyFill="1" applyBorder="1" applyAlignment="1" applyProtection="1">
      <alignment wrapText="1"/>
      <protection locked="0"/>
    </xf>
    <xf numFmtId="0" fontId="102" fillId="35" borderId="64" xfId="46" applyFill="1" applyBorder="1" applyAlignment="1">
      <alignment vertical="center" wrapText="1"/>
    </xf>
    <xf numFmtId="0" fontId="3" fillId="35" borderId="142" xfId="48" applyFill="1" applyBorder="1" applyAlignment="1">
      <alignment vertical="center" wrapText="1"/>
    </xf>
    <xf numFmtId="0" fontId="3" fillId="35" borderId="143" xfId="48" applyFill="1" applyBorder="1" applyAlignment="1">
      <alignment vertical="center" wrapText="1"/>
    </xf>
    <xf numFmtId="0" fontId="3" fillId="35" borderId="0" xfId="48" applyFill="1" applyAlignment="1" applyProtection="1">
      <alignment wrapText="1"/>
      <protection locked="0"/>
    </xf>
    <xf numFmtId="0" fontId="3" fillId="35" borderId="0" xfId="48" applyFill="1" applyAlignment="1">
      <alignment wrapText="1"/>
    </xf>
    <xf numFmtId="0" fontId="104" fillId="35" borderId="18" xfId="48" applyFont="1" applyFill="1" applyBorder="1" applyAlignment="1" applyProtection="1">
      <alignment wrapText="1"/>
      <protection locked="0"/>
    </xf>
    <xf numFmtId="0" fontId="102" fillId="35" borderId="65" xfId="46" applyFill="1" applyBorder="1" applyAlignment="1">
      <alignment horizontal="left" vertical="center" wrapText="1"/>
    </xf>
    <xf numFmtId="0" fontId="105" fillId="35" borderId="26" xfId="48" applyFont="1" applyFill="1" applyBorder="1" applyAlignment="1">
      <alignment horizontal="left" vertical="center" wrapText="1"/>
    </xf>
    <xf numFmtId="0" fontId="105" fillId="35" borderId="75" xfId="48" applyFont="1" applyFill="1" applyBorder="1" applyAlignment="1">
      <alignment horizontal="left" vertical="center" wrapText="1"/>
    </xf>
    <xf numFmtId="0" fontId="104" fillId="35" borderId="49" xfId="48" applyFont="1" applyFill="1" applyBorder="1" applyAlignment="1" applyProtection="1">
      <alignment wrapText="1"/>
      <protection locked="0"/>
    </xf>
    <xf numFmtId="0" fontId="102" fillId="35" borderId="69" xfId="46" applyFill="1" applyBorder="1" applyAlignment="1">
      <alignment horizontal="left" vertical="center" wrapText="1"/>
    </xf>
    <xf numFmtId="0" fontId="105" fillId="35" borderId="27" xfId="48" applyFont="1" applyFill="1" applyBorder="1" applyAlignment="1">
      <alignment horizontal="left" vertical="center" wrapText="1"/>
    </xf>
    <xf numFmtId="0" fontId="105" fillId="35" borderId="76" xfId="48" applyFont="1" applyFill="1" applyBorder="1" applyAlignment="1">
      <alignment horizontal="left" vertical="center" wrapText="1"/>
    </xf>
    <xf numFmtId="0" fontId="3" fillId="35" borderId="0" xfId="48" applyFill="1" applyAlignment="1">
      <alignment vertical="center"/>
    </xf>
    <xf numFmtId="0" fontId="103" fillId="35" borderId="0" xfId="48" applyFont="1" applyFill="1" applyAlignment="1">
      <alignment vertical="center"/>
    </xf>
    <xf numFmtId="0" fontId="3" fillId="35" borderId="21" xfId="48" applyFill="1" applyBorder="1"/>
    <xf numFmtId="0" fontId="3" fillId="35" borderId="10" xfId="48" applyFill="1" applyBorder="1" applyAlignment="1">
      <alignment vertical="center"/>
    </xf>
    <xf numFmtId="0" fontId="3" fillId="35" borderId="17" xfId="48" applyFill="1" applyBorder="1" applyAlignment="1">
      <alignment vertical="center"/>
    </xf>
    <xf numFmtId="0" fontId="3" fillId="35" borderId="14" xfId="48" applyFill="1" applyBorder="1" applyAlignment="1">
      <alignment vertical="center"/>
    </xf>
    <xf numFmtId="0" fontId="3" fillId="35" borderId="58" xfId="48" applyFill="1" applyBorder="1"/>
    <xf numFmtId="0" fontId="3" fillId="35" borderId="44" xfId="48" applyFill="1" applyBorder="1" applyAlignment="1">
      <alignment vertical="center"/>
    </xf>
    <xf numFmtId="0" fontId="3" fillId="35" borderId="103" xfId="48" applyFill="1" applyBorder="1" applyAlignment="1">
      <alignment vertical="center"/>
    </xf>
    <xf numFmtId="0" fontId="3" fillId="35" borderId="45" xfId="48" applyFill="1" applyBorder="1" applyAlignment="1">
      <alignment vertical="center"/>
    </xf>
    <xf numFmtId="0" fontId="102" fillId="35" borderId="62" xfId="46" applyFill="1" applyBorder="1" applyAlignment="1">
      <alignment horizontal="left" vertical="center" wrapText="1"/>
    </xf>
    <xf numFmtId="0" fontId="105" fillId="35" borderId="25" xfId="48" applyFont="1" applyFill="1" applyBorder="1" applyAlignment="1">
      <alignment horizontal="left" vertical="center" wrapText="1"/>
    </xf>
    <xf numFmtId="0" fontId="105" fillId="35" borderId="74" xfId="48" applyFont="1" applyFill="1" applyBorder="1" applyAlignment="1">
      <alignment horizontal="left" vertical="center" wrapText="1"/>
    </xf>
    <xf numFmtId="0" fontId="105" fillId="35" borderId="0" xfId="48" applyFont="1" applyFill="1" applyAlignment="1">
      <alignment horizontal="left" vertical="center" wrapText="1"/>
    </xf>
    <xf numFmtId="0" fontId="105" fillId="35" borderId="0" xfId="48" applyFont="1" applyFill="1" applyAlignment="1">
      <alignment horizontal="left" vertical="top" wrapText="1"/>
    </xf>
    <xf numFmtId="0" fontId="3" fillId="0" borderId="0" xfId="48" applyProtection="1">
      <protection locked="0"/>
    </xf>
    <xf numFmtId="0" fontId="3" fillId="0" borderId="0" xfId="48"/>
    <xf numFmtId="0" fontId="99" fillId="35" borderId="0" xfId="48" applyFont="1" applyFill="1"/>
    <xf numFmtId="0" fontId="101" fillId="35" borderId="0" xfId="48" applyFont="1" applyFill="1"/>
    <xf numFmtId="0" fontId="107" fillId="35" borderId="0" xfId="49" applyFill="1"/>
    <xf numFmtId="0" fontId="13" fillId="26" borderId="38" xfId="0" applyFont="1" applyFill="1" applyBorder="1" applyAlignment="1">
      <alignment horizontal="right" vertical="center" wrapText="1"/>
    </xf>
    <xf numFmtId="0" fontId="49" fillId="0" borderId="18" xfId="0" applyFont="1" applyBorder="1" applyAlignment="1">
      <alignment horizontal="left" vertical="center"/>
    </xf>
    <xf numFmtId="0" fontId="6" fillId="24" borderId="37" xfId="0" applyFont="1" applyFill="1" applyBorder="1" applyAlignment="1">
      <alignment horizontal="center" vertical="center"/>
    </xf>
    <xf numFmtId="0" fontId="6" fillId="0" borderId="49" xfId="0" applyFont="1" applyBorder="1" applyAlignment="1">
      <alignment horizontal="left" vertical="center" textRotation="90"/>
    </xf>
    <xf numFmtId="49" fontId="6" fillId="26" borderId="34" xfId="0" applyNumberFormat="1" applyFont="1" applyFill="1" applyBorder="1" applyAlignment="1">
      <alignment horizontal="left" vertical="center"/>
    </xf>
    <xf numFmtId="0" fontId="24" fillId="26" borderId="49" xfId="0" applyFont="1" applyFill="1" applyBorder="1" applyAlignment="1">
      <alignment horizontal="center" vertical="center"/>
    </xf>
    <xf numFmtId="49" fontId="7" fillId="0" borderId="59" xfId="0" applyNumberFormat="1" applyFont="1" applyBorder="1" applyAlignment="1">
      <alignment horizontal="left" vertical="center"/>
    </xf>
    <xf numFmtId="0" fontId="14" fillId="24" borderId="139" xfId="0" applyFont="1" applyFill="1" applyBorder="1" applyAlignment="1">
      <alignment horizontal="center" vertical="center"/>
    </xf>
    <xf numFmtId="0" fontId="14" fillId="24" borderId="140" xfId="0" applyFont="1" applyFill="1" applyBorder="1" applyAlignment="1">
      <alignment horizontal="center" vertical="center"/>
    </xf>
    <xf numFmtId="0" fontId="14" fillId="24" borderId="37" xfId="0" applyFont="1" applyFill="1" applyBorder="1" applyAlignment="1">
      <alignment horizontal="center" vertical="center"/>
    </xf>
    <xf numFmtId="0" fontId="8" fillId="24" borderId="37" xfId="0" applyFont="1" applyFill="1" applyBorder="1" applyAlignment="1">
      <alignment horizontal="center" vertical="center"/>
    </xf>
    <xf numFmtId="0" fontId="6" fillId="0" borderId="36" xfId="0" applyFont="1" applyBorder="1" applyAlignment="1">
      <alignment horizontal="left" vertical="center"/>
    </xf>
    <xf numFmtId="0" fontId="34" fillId="0" borderId="36" xfId="0" applyFont="1" applyBorder="1" applyAlignment="1">
      <alignment horizontal="left" vertical="center" indent="1"/>
    </xf>
    <xf numFmtId="0" fontId="6" fillId="0" borderId="54" xfId="0" applyFont="1" applyBorder="1" applyAlignment="1">
      <alignment horizontal="center" vertical="center" textRotation="90"/>
    </xf>
    <xf numFmtId="0" fontId="6" fillId="0" borderId="44" xfId="0" applyFont="1" applyBorder="1" applyAlignment="1">
      <alignment horizontal="center" vertical="center" textRotation="90"/>
    </xf>
    <xf numFmtId="0" fontId="22" fillId="0" borderId="47" xfId="0" applyFont="1" applyBorder="1" applyAlignment="1">
      <alignment horizontal="left" vertical="center" wrapText="1" indent="1"/>
    </xf>
    <xf numFmtId="0" fontId="7" fillId="0" borderId="44" xfId="0" applyFont="1" applyBorder="1" applyAlignment="1">
      <alignment horizontal="center" textRotation="90"/>
    </xf>
    <xf numFmtId="0" fontId="8" fillId="0" borderId="45" xfId="0" applyFont="1" applyBorder="1" applyAlignment="1">
      <alignment horizontal="center" textRotation="90"/>
    </xf>
    <xf numFmtId="0" fontId="8" fillId="0" borderId="47" xfId="0" applyFont="1" applyBorder="1" applyAlignment="1">
      <alignment horizontal="center" textRotation="90"/>
    </xf>
    <xf numFmtId="0" fontId="31" fillId="0" borderId="44" xfId="0" applyFont="1" applyBorder="1" applyAlignment="1">
      <alignment horizontal="center" textRotation="90"/>
    </xf>
    <xf numFmtId="0" fontId="9" fillId="0" borderId="44" xfId="0" applyFont="1" applyBorder="1" applyAlignment="1">
      <alignment horizontal="center" textRotation="90"/>
    </xf>
    <xf numFmtId="0" fontId="25" fillId="0" borderId="45" xfId="0" applyFont="1" applyBorder="1" applyAlignment="1">
      <alignment horizontal="center" textRotation="90"/>
    </xf>
    <xf numFmtId="0" fontId="11" fillId="0" borderId="40" xfId="0" applyFont="1" applyBorder="1" applyAlignment="1">
      <alignment horizontal="center" vertical="center"/>
    </xf>
    <xf numFmtId="0" fontId="34" fillId="0" borderId="38" xfId="0" applyFont="1" applyBorder="1" applyAlignment="1">
      <alignment horizontal="left" vertical="center" wrapText="1"/>
    </xf>
    <xf numFmtId="0" fontId="13" fillId="26" borderId="18" xfId="0" applyFont="1" applyFill="1" applyBorder="1" applyAlignment="1">
      <alignment horizontal="right" vertical="center" wrapText="1"/>
    </xf>
    <xf numFmtId="0" fontId="11" fillId="26" borderId="0" xfId="0" applyFont="1" applyFill="1" applyAlignment="1" applyProtection="1">
      <alignment vertical="center"/>
      <protection locked="0"/>
    </xf>
    <xf numFmtId="0" fontId="11" fillId="26" borderId="0" xfId="0" applyFont="1" applyFill="1" applyAlignment="1" applyProtection="1">
      <alignment horizontal="right" vertical="center" indent="6"/>
      <protection locked="0"/>
    </xf>
    <xf numFmtId="0" fontId="11" fillId="26" borderId="0" xfId="0" applyFont="1" applyFill="1" applyAlignment="1" applyProtection="1">
      <alignment horizontal="right" vertical="center"/>
      <protection locked="0"/>
    </xf>
    <xf numFmtId="0" fontId="4" fillId="24" borderId="34" xfId="0" applyFont="1" applyFill="1" applyBorder="1" applyAlignment="1">
      <alignment vertical="center"/>
    </xf>
    <xf numFmtId="0" fontId="13" fillId="26" borderId="34" xfId="0" applyFont="1" applyFill="1" applyBorder="1" applyAlignment="1">
      <alignment horizontal="left" vertical="center" wrapText="1"/>
    </xf>
    <xf numFmtId="0" fontId="13" fillId="26" borderId="34" xfId="0" applyFont="1" applyFill="1" applyBorder="1" applyAlignment="1">
      <alignment horizontal="right" vertical="center" wrapText="1"/>
    </xf>
    <xf numFmtId="0" fontId="32" fillId="0" borderId="41" xfId="0" applyFont="1" applyBorder="1" applyAlignment="1">
      <alignment horizontal="center" vertical="center"/>
    </xf>
    <xf numFmtId="0" fontId="13" fillId="35" borderId="0" xfId="0" applyFont="1" applyFill="1" applyAlignment="1">
      <alignment horizontal="left" vertical="top" wrapText="1"/>
    </xf>
    <xf numFmtId="0" fontId="6" fillId="0" borderId="34" xfId="0" applyFont="1" applyBorder="1" applyAlignment="1">
      <alignment horizontal="left" vertical="center" wrapText="1"/>
    </xf>
    <xf numFmtId="0" fontId="13" fillId="0" borderId="59" xfId="0" applyFont="1" applyBorder="1" applyAlignment="1">
      <alignment vertical="center"/>
    </xf>
    <xf numFmtId="0" fontId="34" fillId="0" borderId="52" xfId="0" applyFont="1" applyBorder="1" applyAlignment="1">
      <alignment horizontal="left" vertical="center" wrapText="1"/>
    </xf>
    <xf numFmtId="0" fontId="34" fillId="0" borderId="22" xfId="0" applyFont="1" applyBorder="1" applyAlignment="1">
      <alignment horizontal="left" vertical="center" wrapText="1"/>
    </xf>
    <xf numFmtId="0" fontId="34" fillId="0" borderId="23" xfId="0" applyFont="1" applyBorder="1" applyAlignment="1">
      <alignment horizontal="left" vertical="center" wrapText="1"/>
    </xf>
    <xf numFmtId="0" fontId="8" fillId="26" borderId="0" xfId="47" applyFont="1" applyFill="1" applyAlignment="1">
      <alignment horizontal="center" vertical="top" wrapText="1"/>
    </xf>
    <xf numFmtId="0" fontId="93" fillId="35" borderId="0" xfId="52" applyFont="1" applyFill="1"/>
    <xf numFmtId="0" fontId="95" fillId="35" borderId="0" xfId="52" applyFont="1" applyFill="1" applyAlignment="1">
      <alignment horizontal="left" vertical="center"/>
    </xf>
    <xf numFmtId="0" fontId="94" fillId="37" borderId="0" xfId="52" applyFont="1" applyFill="1"/>
    <xf numFmtId="0" fontId="94" fillId="35" borderId="0" xfId="52" applyFont="1" applyFill="1"/>
    <xf numFmtId="0" fontId="8" fillId="26" borderId="23" xfId="47" applyFont="1" applyFill="1" applyBorder="1" applyAlignment="1">
      <alignment horizontal="center" vertical="top" wrapText="1"/>
    </xf>
    <xf numFmtId="0" fontId="93" fillId="41" borderId="0" xfId="52" applyFont="1" applyFill="1"/>
    <xf numFmtId="0" fontId="96" fillId="35" borderId="111" xfId="52" applyFont="1" applyFill="1" applyBorder="1" applyAlignment="1">
      <alignment horizontal="right" vertical="center" wrapText="1"/>
    </xf>
    <xf numFmtId="0" fontId="96" fillId="35" borderId="0" xfId="52" applyFont="1" applyFill="1" applyAlignment="1">
      <alignment horizontal="right" vertical="center" wrapText="1"/>
    </xf>
    <xf numFmtId="0" fontId="96" fillId="35" borderId="112" xfId="52" applyFont="1" applyFill="1" applyBorder="1" applyAlignment="1">
      <alignment horizontal="right" vertical="center" wrapText="1"/>
    </xf>
    <xf numFmtId="0" fontId="95" fillId="40" borderId="66" xfId="52" applyFont="1" applyFill="1" applyBorder="1" applyAlignment="1" applyProtection="1">
      <alignment horizontal="center" vertical="center" wrapText="1"/>
      <protection locked="0"/>
    </xf>
    <xf numFmtId="0" fontId="95" fillId="40" borderId="52" xfId="52" applyFont="1" applyFill="1" applyBorder="1" applyAlignment="1" applyProtection="1">
      <alignment horizontal="center" vertical="center" wrapText="1"/>
      <protection locked="0"/>
    </xf>
    <xf numFmtId="0" fontId="95" fillId="40" borderId="113" xfId="52" applyFont="1" applyFill="1" applyBorder="1" applyAlignment="1" applyProtection="1">
      <alignment horizontal="center" vertical="center" wrapText="1"/>
      <protection locked="0"/>
    </xf>
    <xf numFmtId="0" fontId="93" fillId="41" borderId="0" xfId="52" applyFont="1" applyFill="1" applyAlignment="1">
      <alignment vertical="center"/>
    </xf>
    <xf numFmtId="0" fontId="109" fillId="0" borderId="108" xfId="52" applyFont="1" applyBorder="1" applyAlignment="1">
      <alignment horizontal="center" vertical="center"/>
    </xf>
    <xf numFmtId="0" fontId="7" fillId="39" borderId="121" xfId="52" applyFont="1" applyFill="1" applyBorder="1" applyAlignment="1" applyProtection="1">
      <alignment horizontal="center" vertical="center"/>
      <protection locked="0"/>
    </xf>
    <xf numFmtId="0" fontId="99" fillId="37" borderId="0" xfId="52" applyFont="1" applyFill="1" applyAlignment="1">
      <alignment horizontal="left" vertical="center"/>
    </xf>
    <xf numFmtId="14" fontId="99" fillId="37" borderId="0" xfId="52" applyNumberFormat="1" applyFont="1" applyFill="1" applyAlignment="1">
      <alignment vertical="center"/>
    </xf>
    <xf numFmtId="0" fontId="94" fillId="37" borderId="0" xfId="52" applyFont="1" applyFill="1" applyAlignment="1">
      <alignment wrapText="1"/>
    </xf>
    <xf numFmtId="0" fontId="94" fillId="37" borderId="0" xfId="52" applyFont="1" applyFill="1" applyAlignment="1">
      <alignment horizontal="left" vertical="center"/>
    </xf>
    <xf numFmtId="0" fontId="94" fillId="37" borderId="0" xfId="52" applyFont="1" applyFill="1" applyAlignment="1">
      <alignment horizontal="right"/>
    </xf>
    <xf numFmtId="0" fontId="93" fillId="35" borderId="0" xfId="52" applyFont="1" applyFill="1" applyAlignment="1">
      <alignment vertical="center"/>
    </xf>
    <xf numFmtId="0" fontId="4" fillId="35" borderId="0" xfId="52" applyFont="1" applyFill="1"/>
    <xf numFmtId="0" fontId="95" fillId="0" borderId="0" xfId="52" applyFont="1" applyAlignment="1">
      <alignment horizontal="left" vertical="center"/>
    </xf>
    <xf numFmtId="0" fontId="93" fillId="0" borderId="0" xfId="52" applyFont="1" applyAlignment="1">
      <alignment vertical="center"/>
    </xf>
    <xf numFmtId="0" fontId="98" fillId="35" borderId="120" xfId="52" applyFont="1" applyFill="1" applyBorder="1" applyAlignment="1">
      <alignment vertical="center"/>
    </xf>
    <xf numFmtId="0" fontId="98" fillId="35" borderId="109" xfId="52" applyFont="1" applyFill="1" applyBorder="1" applyAlignment="1">
      <alignment vertical="center"/>
    </xf>
    <xf numFmtId="0" fontId="13" fillId="37" borderId="52" xfId="0" applyFont="1" applyFill="1" applyBorder="1" applyAlignment="1">
      <alignment horizontal="left" vertical="center" wrapText="1"/>
    </xf>
    <xf numFmtId="0" fontId="15" fillId="37" borderId="38" xfId="0" applyFont="1" applyFill="1" applyBorder="1" applyAlignment="1">
      <alignment horizontal="center" vertical="center"/>
    </xf>
    <xf numFmtId="0" fontId="14" fillId="0" borderId="18" xfId="0" applyFont="1" applyBorder="1" applyAlignment="1">
      <alignment horizontal="center" vertical="center"/>
    </xf>
    <xf numFmtId="0" fontId="0" fillId="42" borderId="0" xfId="0" applyFill="1"/>
    <xf numFmtId="0" fontId="35" fillId="42" borderId="0" xfId="0" applyFont="1" applyFill="1" applyAlignment="1">
      <alignment vertical="center"/>
    </xf>
    <xf numFmtId="0" fontId="0" fillId="42" borderId="0" xfId="0" applyFill="1" applyAlignment="1">
      <alignment vertical="center"/>
    </xf>
    <xf numFmtId="0" fontId="57" fillId="42" borderId="0" xfId="0" applyFont="1" applyFill="1" applyAlignment="1">
      <alignment vertical="center"/>
    </xf>
    <xf numFmtId="0" fontId="111" fillId="42" borderId="0" xfId="0" applyFont="1" applyFill="1" applyAlignment="1">
      <alignment vertical="center"/>
    </xf>
    <xf numFmtId="0" fontId="80" fillId="42" borderId="0" xfId="0" applyFont="1" applyFill="1" applyAlignment="1">
      <alignment vertical="center"/>
    </xf>
    <xf numFmtId="0" fontId="34" fillId="42" borderId="0" xfId="0" applyFont="1" applyFill="1" applyAlignment="1">
      <alignment vertical="center"/>
    </xf>
    <xf numFmtId="0" fontId="11" fillId="42" borderId="0" xfId="0" applyFont="1" applyFill="1" applyAlignment="1">
      <alignment vertical="center"/>
    </xf>
    <xf numFmtId="0" fontId="40" fillId="42" borderId="0" xfId="0" applyFont="1" applyFill="1" applyAlignment="1">
      <alignment vertical="center"/>
    </xf>
    <xf numFmtId="0" fontId="30" fillId="42" borderId="0" xfId="0" applyFont="1" applyFill="1" applyAlignment="1">
      <alignment vertical="center"/>
    </xf>
    <xf numFmtId="0" fontId="4" fillId="42" borderId="0" xfId="0" applyFont="1" applyFill="1" applyAlignment="1">
      <alignment vertical="center"/>
    </xf>
    <xf numFmtId="0" fontId="0" fillId="42" borderId="0" xfId="0" applyFill="1" applyAlignment="1">
      <alignment vertical="center" wrapText="1"/>
    </xf>
    <xf numFmtId="0" fontId="80" fillId="42" borderId="0" xfId="0" applyFont="1" applyFill="1"/>
    <xf numFmtId="0" fontId="0" fillId="42" borderId="37" xfId="0" applyFill="1" applyBorder="1" applyAlignment="1">
      <alignment vertical="center"/>
    </xf>
    <xf numFmtId="0" fontId="0" fillId="42" borderId="0" xfId="0" applyFill="1" applyAlignment="1">
      <alignment horizontal="left" vertical="center" wrapText="1" indent="1"/>
    </xf>
    <xf numFmtId="0" fontId="10" fillId="42" borderId="0" xfId="0" applyFont="1" applyFill="1" applyAlignment="1">
      <alignment horizontal="center" vertical="center"/>
    </xf>
    <xf numFmtId="49" fontId="6" fillId="42" borderId="38" xfId="0" applyNumberFormat="1" applyFont="1" applyFill="1" applyBorder="1" applyAlignment="1">
      <alignment horizontal="left" vertical="center"/>
    </xf>
    <xf numFmtId="0" fontId="46" fillId="42" borderId="23" xfId="0" applyFont="1" applyFill="1" applyBorder="1" applyAlignment="1">
      <alignment horizontal="left" vertical="center" wrapText="1"/>
    </xf>
    <xf numFmtId="49" fontId="6" fillId="42" borderId="18" xfId="0" applyNumberFormat="1" applyFont="1" applyFill="1" applyBorder="1" applyAlignment="1">
      <alignment horizontal="left" vertical="center"/>
    </xf>
    <xf numFmtId="0" fontId="13" fillId="42" borderId="52" xfId="0" applyFont="1" applyFill="1" applyBorder="1" applyAlignment="1">
      <alignment horizontal="left" vertical="center" wrapText="1"/>
    </xf>
    <xf numFmtId="0" fontId="15" fillId="42" borderId="38" xfId="0" applyFont="1" applyFill="1" applyBorder="1" applyAlignment="1">
      <alignment horizontal="center" vertical="center"/>
    </xf>
    <xf numFmtId="0" fontId="0" fillId="35" borderId="0" xfId="0" applyFill="1"/>
    <xf numFmtId="0" fontId="0" fillId="35" borderId="0" xfId="0" applyFill="1" applyAlignment="1">
      <alignment vertical="center"/>
    </xf>
    <xf numFmtId="0" fontId="14" fillId="35" borderId="0" xfId="0" applyFont="1" applyFill="1" applyAlignment="1">
      <alignment vertical="center"/>
    </xf>
    <xf numFmtId="0" fontId="35" fillId="35" borderId="0" xfId="0" applyFont="1" applyFill="1" applyAlignment="1">
      <alignment vertical="center"/>
    </xf>
    <xf numFmtId="0" fontId="35" fillId="35" borderId="0" xfId="0" applyFont="1" applyFill="1"/>
    <xf numFmtId="0" fontId="79" fillId="35" borderId="0" xfId="0" applyFont="1" applyFill="1" applyAlignment="1">
      <alignment vertical="center"/>
    </xf>
    <xf numFmtId="0" fontId="41" fillId="35" borderId="0" xfId="0" applyFont="1" applyFill="1" applyAlignment="1">
      <alignment vertical="center"/>
    </xf>
    <xf numFmtId="0" fontId="81" fillId="35" borderId="0" xfId="0" applyFont="1" applyFill="1" applyAlignment="1">
      <alignment vertical="center"/>
    </xf>
    <xf numFmtId="0" fontId="80" fillId="35" borderId="0" xfId="0" applyFont="1" applyFill="1" applyAlignment="1">
      <alignment vertical="center"/>
    </xf>
    <xf numFmtId="0" fontId="82" fillId="35" borderId="0" xfId="0" applyFont="1" applyFill="1" applyAlignment="1">
      <alignment vertical="center"/>
    </xf>
    <xf numFmtId="0" fontId="42" fillId="35" borderId="0" xfId="0" applyFont="1" applyFill="1" applyAlignment="1">
      <alignment vertical="center"/>
    </xf>
    <xf numFmtId="0" fontId="83" fillId="35" borderId="0" xfId="0" applyFont="1" applyFill="1" applyAlignment="1">
      <alignment horizontal="center" vertical="center"/>
    </xf>
    <xf numFmtId="0" fontId="11" fillId="42" borderId="0" xfId="0" applyFont="1" applyFill="1" applyAlignment="1">
      <alignment horizontal="center" vertical="center"/>
    </xf>
    <xf numFmtId="0" fontId="57" fillId="38" borderId="0" xfId="0" applyFont="1" applyFill="1" applyAlignment="1">
      <alignment vertical="center"/>
    </xf>
    <xf numFmtId="0" fontId="14" fillId="24" borderId="13" xfId="0" applyFont="1" applyFill="1" applyBorder="1" applyAlignment="1">
      <alignment horizontal="left" vertical="center"/>
    </xf>
    <xf numFmtId="0" fontId="57" fillId="0" borderId="19" xfId="0" applyFont="1" applyBorder="1" applyAlignment="1" applyProtection="1">
      <alignment horizontal="center"/>
      <protection locked="0"/>
    </xf>
    <xf numFmtId="0" fontId="57" fillId="0" borderId="43" xfId="0" applyFont="1" applyBorder="1" applyAlignment="1" applyProtection="1">
      <alignment horizontal="center"/>
      <protection locked="0"/>
    </xf>
    <xf numFmtId="0" fontId="57" fillId="0" borderId="59" xfId="0" applyFont="1" applyBorder="1" applyAlignment="1" applyProtection="1">
      <alignment horizontal="center"/>
      <protection locked="0"/>
    </xf>
    <xf numFmtId="0" fontId="57" fillId="0" borderId="57" xfId="0" applyFont="1" applyBorder="1" applyAlignment="1" applyProtection="1">
      <alignment horizontal="center"/>
      <protection locked="0"/>
    </xf>
    <xf numFmtId="0" fontId="12" fillId="0" borderId="36" xfId="0" applyFont="1" applyBorder="1" applyAlignment="1">
      <alignment horizontal="left" vertical="center"/>
    </xf>
    <xf numFmtId="0" fontId="13" fillId="0" borderId="13" xfId="0" applyFont="1" applyBorder="1" applyAlignment="1">
      <alignment horizontal="left"/>
    </xf>
    <xf numFmtId="0" fontId="5" fillId="34" borderId="24" xfId="0" applyFont="1" applyFill="1" applyBorder="1" applyAlignment="1">
      <alignment horizontal="center" vertical="center"/>
    </xf>
    <xf numFmtId="0" fontId="5" fillId="34" borderId="20" xfId="0" applyFont="1" applyFill="1" applyBorder="1" applyAlignment="1">
      <alignment horizontal="center" vertical="center"/>
    </xf>
    <xf numFmtId="0" fontId="12" fillId="0" borderId="24" xfId="0" applyFont="1" applyBorder="1" applyAlignment="1">
      <alignment horizontal="left" vertical="center"/>
    </xf>
    <xf numFmtId="0" fontId="13" fillId="0" borderId="20" xfId="0" applyFont="1" applyBorder="1" applyAlignment="1">
      <alignment horizontal="left"/>
    </xf>
    <xf numFmtId="0" fontId="0" fillId="0" borderId="86" xfId="0" applyBorder="1" applyAlignment="1">
      <alignment vertical="center"/>
    </xf>
    <xf numFmtId="0" fontId="0" fillId="0" borderId="87" xfId="0" applyBorder="1"/>
    <xf numFmtId="0" fontId="57" fillId="0" borderId="19" xfId="0" applyFont="1" applyBorder="1" applyAlignment="1" applyProtection="1">
      <alignment horizontal="center" vertical="center"/>
      <protection locked="0"/>
    </xf>
    <xf numFmtId="0" fontId="57" fillId="0" borderId="43" xfId="0" applyFont="1" applyBorder="1" applyAlignment="1" applyProtection="1">
      <alignment horizontal="center" vertical="center"/>
      <protection locked="0"/>
    </xf>
    <xf numFmtId="0" fontId="57" fillId="0" borderId="50" xfId="0" applyFont="1" applyBorder="1" applyAlignment="1" applyProtection="1">
      <alignment horizontal="center" vertical="center"/>
      <protection locked="0"/>
    </xf>
    <xf numFmtId="0" fontId="57" fillId="0" borderId="56" xfId="0" applyFont="1" applyBorder="1" applyAlignment="1" applyProtection="1">
      <alignment horizontal="center" vertical="center"/>
      <protection locked="0"/>
    </xf>
    <xf numFmtId="0" fontId="0" fillId="0" borderId="89" xfId="0" applyBorder="1" applyAlignment="1">
      <alignment horizontal="left" vertical="center"/>
    </xf>
    <xf numFmtId="0" fontId="0" fillId="0" borderId="90" xfId="0" applyBorder="1" applyAlignment="1">
      <alignment horizontal="left" vertical="center"/>
    </xf>
    <xf numFmtId="0" fontId="57" fillId="0" borderId="72" xfId="0" applyFont="1" applyBorder="1" applyAlignment="1" applyProtection="1">
      <alignment horizontal="center" vertical="center"/>
      <protection locked="0"/>
    </xf>
    <xf numFmtId="0" fontId="57" fillId="0" borderId="81" xfId="0" applyFont="1" applyBorder="1" applyAlignment="1" applyProtection="1">
      <alignment horizontal="center" vertical="center"/>
      <protection locked="0"/>
    </xf>
    <xf numFmtId="0" fontId="15" fillId="0" borderId="83" xfId="0" applyFont="1" applyBorder="1" applyAlignment="1">
      <alignment horizontal="center" vertical="center"/>
    </xf>
    <xf numFmtId="0" fontId="57" fillId="0" borderId="59" xfId="0" applyFont="1" applyBorder="1" applyAlignment="1" applyProtection="1">
      <alignment horizontal="center" vertical="center"/>
      <protection locked="0"/>
    </xf>
    <xf numFmtId="0" fontId="57" fillId="0" borderId="57" xfId="0" applyFont="1" applyBorder="1" applyAlignment="1" applyProtection="1">
      <alignment horizontal="center" vertical="center"/>
      <protection locked="0"/>
    </xf>
    <xf numFmtId="0" fontId="57" fillId="0" borderId="22" xfId="0" applyFont="1" applyBorder="1" applyAlignment="1" applyProtection="1">
      <alignment horizontal="center" vertical="center"/>
      <protection locked="0"/>
    </xf>
    <xf numFmtId="0" fontId="57" fillId="0" borderId="35" xfId="0" applyFont="1" applyBorder="1" applyAlignment="1" applyProtection="1">
      <alignment horizontal="center" vertical="center"/>
      <protection locked="0"/>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91" xfId="0"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233" fontId="16" fillId="0" borderId="88" xfId="0" applyNumberFormat="1" applyFont="1" applyBorder="1" applyAlignment="1">
      <alignment horizontal="left" vertical="center"/>
    </xf>
    <xf numFmtId="233" fontId="0" fillId="0" borderId="89" xfId="0" applyNumberFormat="1" applyBorder="1" applyAlignment="1">
      <alignment horizontal="left" vertical="center"/>
    </xf>
    <xf numFmtId="233" fontId="0" fillId="0" borderId="90" xfId="0" applyNumberFormat="1" applyBorder="1" applyAlignment="1">
      <alignment horizontal="left" vertical="center"/>
    </xf>
    <xf numFmtId="0" fontId="57" fillId="0" borderId="51" xfId="0" applyFont="1" applyBorder="1" applyAlignment="1" applyProtection="1">
      <alignment horizontal="center" vertical="center"/>
      <protection locked="0"/>
    </xf>
    <xf numFmtId="0" fontId="57" fillId="0" borderId="60" xfId="0" applyFont="1" applyBorder="1" applyAlignment="1" applyProtection="1">
      <alignment horizontal="center" vertical="center"/>
      <protection locked="0"/>
    </xf>
    <xf numFmtId="167" fontId="16" fillId="0" borderId="88" xfId="0" applyNumberFormat="1" applyFont="1" applyBorder="1" applyAlignment="1">
      <alignment horizontal="left" vertical="center"/>
    </xf>
    <xf numFmtId="183" fontId="16" fillId="0" borderId="88" xfId="0" applyNumberFormat="1" applyFont="1" applyBorder="1" applyAlignment="1">
      <alignment horizontal="left" vertical="center"/>
    </xf>
    <xf numFmtId="180" fontId="16" fillId="0" borderId="88" xfId="0" applyNumberFormat="1" applyFont="1" applyBorder="1" applyAlignment="1">
      <alignment horizontal="left" vertical="center"/>
    </xf>
    <xf numFmtId="181" fontId="16" fillId="0" borderId="88" xfId="0" applyNumberFormat="1" applyFont="1" applyBorder="1" applyAlignment="1">
      <alignment horizontal="left" vertical="center"/>
    </xf>
    <xf numFmtId="221" fontId="16" fillId="0" borderId="88" xfId="0" applyNumberFormat="1" applyFont="1" applyBorder="1" applyAlignment="1">
      <alignment horizontal="left" vertical="center"/>
    </xf>
    <xf numFmtId="221" fontId="0" fillId="0" borderId="89" xfId="0" applyNumberFormat="1" applyBorder="1" applyAlignment="1">
      <alignment horizontal="left" vertical="center"/>
    </xf>
    <xf numFmtId="221" fontId="0" fillId="0" borderId="90" xfId="0" applyNumberFormat="1" applyBorder="1" applyAlignment="1">
      <alignment horizontal="left" vertical="center"/>
    </xf>
    <xf numFmtId="0" fontId="57" fillId="0" borderId="24" xfId="0" applyFont="1" applyBorder="1" applyAlignment="1" applyProtection="1">
      <alignment horizontal="center" vertical="center"/>
      <protection locked="0"/>
    </xf>
    <xf numFmtId="0" fontId="57" fillId="0" borderId="29" xfId="0" applyFont="1" applyBorder="1" applyAlignment="1" applyProtection="1">
      <alignment horizontal="center" vertical="center"/>
      <protection locked="0"/>
    </xf>
    <xf numFmtId="179" fontId="16" fillId="0" borderId="88" xfId="0" applyNumberFormat="1" applyFont="1" applyBorder="1" applyAlignment="1">
      <alignment horizontal="left" vertical="center"/>
    </xf>
    <xf numFmtId="0" fontId="34" fillId="0" borderId="19" xfId="0" applyFont="1" applyBorder="1" applyAlignment="1">
      <alignment horizontal="left" vertical="center"/>
    </xf>
    <xf numFmtId="0" fontId="34" fillId="0" borderId="52" xfId="0" applyFont="1" applyBorder="1" applyAlignment="1">
      <alignment horizontal="left" vertical="center"/>
    </xf>
    <xf numFmtId="0" fontId="34" fillId="0" borderId="43" xfId="0" applyFont="1" applyBorder="1" applyAlignment="1">
      <alignment horizontal="left" vertical="center"/>
    </xf>
    <xf numFmtId="0" fontId="15" fillId="0" borderId="84" xfId="0" applyFont="1" applyBorder="1" applyAlignment="1">
      <alignment horizontal="center" vertical="center"/>
    </xf>
    <xf numFmtId="0" fontId="15" fillId="0" borderId="85" xfId="0" applyFont="1" applyBorder="1" applyAlignment="1">
      <alignment horizontal="center" vertical="center"/>
    </xf>
    <xf numFmtId="0" fontId="0" fillId="0" borderId="13" xfId="0" applyBorder="1" applyAlignment="1">
      <alignment horizontal="left" vertical="center"/>
    </xf>
    <xf numFmtId="0" fontId="0" fillId="0" borderId="33" xfId="0" applyBorder="1" applyAlignment="1">
      <alignment horizontal="left" vertical="center"/>
    </xf>
    <xf numFmtId="0" fontId="0" fillId="0" borderId="52" xfId="0" applyBorder="1" applyAlignment="1">
      <alignment vertical="center"/>
    </xf>
    <xf numFmtId="0" fontId="0" fillId="0" borderId="43" xfId="0" applyBorder="1" applyAlignment="1">
      <alignment vertical="center"/>
    </xf>
    <xf numFmtId="0" fontId="57" fillId="0" borderId="54" xfId="0" applyFont="1" applyBorder="1" applyAlignment="1" applyProtection="1">
      <alignment horizontal="center" vertical="center"/>
      <protection locked="0"/>
    </xf>
    <xf numFmtId="0" fontId="57" fillId="0" borderId="48" xfId="0" applyFont="1" applyBorder="1" applyAlignment="1" applyProtection="1">
      <alignment horizontal="center" vertical="center"/>
      <protection locked="0"/>
    </xf>
    <xf numFmtId="190" fontId="16" fillId="0" borderId="88" xfId="0" applyNumberFormat="1" applyFont="1" applyBorder="1" applyAlignment="1">
      <alignment horizontal="left" vertical="center"/>
    </xf>
    <xf numFmtId="0" fontId="0" fillId="0" borderId="20" xfId="0" applyBorder="1" applyAlignment="1">
      <alignment vertical="center"/>
    </xf>
    <xf numFmtId="0" fontId="0" fillId="0" borderId="29" xfId="0" applyBorder="1" applyAlignment="1">
      <alignment vertical="center"/>
    </xf>
    <xf numFmtId="215" fontId="16" fillId="0" borderId="88" xfId="0" applyNumberFormat="1" applyFont="1" applyBorder="1" applyAlignment="1">
      <alignment horizontal="left" vertical="center"/>
    </xf>
    <xf numFmtId="215" fontId="0" fillId="0" borderId="89" xfId="0" applyNumberFormat="1" applyBorder="1" applyAlignment="1">
      <alignment horizontal="left" vertical="center"/>
    </xf>
    <xf numFmtId="215" fontId="0" fillId="0" borderId="90" xfId="0" applyNumberFormat="1" applyBorder="1" applyAlignment="1">
      <alignment horizontal="left" vertical="center"/>
    </xf>
    <xf numFmtId="186" fontId="16" fillId="0" borderId="88" xfId="0" applyNumberFormat="1" applyFont="1" applyBorder="1" applyAlignment="1">
      <alignment horizontal="left" vertical="center"/>
    </xf>
    <xf numFmtId="191" fontId="16" fillId="0" borderId="88" xfId="0" applyNumberFormat="1" applyFont="1" applyBorder="1" applyAlignment="1">
      <alignment horizontal="left" vertical="center"/>
    </xf>
    <xf numFmtId="0" fontId="0" fillId="25" borderId="19" xfId="0" applyFill="1" applyBorder="1" applyAlignment="1">
      <alignment horizontal="center" vertical="center"/>
    </xf>
    <xf numFmtId="0" fontId="0" fillId="25" borderId="52" xfId="0" applyFill="1" applyBorder="1" applyAlignment="1">
      <alignment horizontal="center" vertical="center"/>
    </xf>
    <xf numFmtId="214" fontId="16" fillId="0" borderId="88" xfId="0" applyNumberFormat="1" applyFont="1" applyBorder="1" applyAlignment="1">
      <alignment horizontal="left" vertical="center"/>
    </xf>
    <xf numFmtId="214" fontId="0" fillId="0" borderId="89" xfId="0" applyNumberFormat="1" applyBorder="1" applyAlignment="1">
      <alignment horizontal="left" vertical="center"/>
    </xf>
    <xf numFmtId="214" fontId="0" fillId="0" borderId="90" xfId="0" applyNumberFormat="1" applyBorder="1" applyAlignment="1">
      <alignment horizontal="left" vertical="center"/>
    </xf>
    <xf numFmtId="213" fontId="16" fillId="0" borderId="88" xfId="0" applyNumberFormat="1" applyFont="1" applyBorder="1" applyAlignment="1">
      <alignment horizontal="left" vertical="center"/>
    </xf>
    <xf numFmtId="213" fontId="0" fillId="0" borderId="89" xfId="0" applyNumberFormat="1" applyBorder="1" applyAlignment="1">
      <alignment horizontal="left" vertical="center"/>
    </xf>
    <xf numFmtId="213" fontId="0" fillId="0" borderId="90" xfId="0" applyNumberFormat="1" applyBorder="1" applyAlignment="1">
      <alignment horizontal="left" vertical="center"/>
    </xf>
    <xf numFmtId="212" fontId="16" fillId="0" borderId="88" xfId="0" applyNumberFormat="1" applyFont="1" applyBorder="1" applyAlignment="1">
      <alignment horizontal="left" vertical="center"/>
    </xf>
    <xf numFmtId="212" fontId="0" fillId="0" borderId="89" xfId="0" applyNumberFormat="1" applyBorder="1" applyAlignment="1">
      <alignment horizontal="left" vertical="center"/>
    </xf>
    <xf numFmtId="212" fontId="0" fillId="0" borderId="90" xfId="0" applyNumberFormat="1" applyBorder="1" applyAlignment="1">
      <alignment horizontal="left" vertical="center"/>
    </xf>
    <xf numFmtId="0" fontId="0" fillId="0" borderId="96" xfId="0" applyBorder="1"/>
    <xf numFmtId="223" fontId="16" fillId="0" borderId="88" xfId="0" applyNumberFormat="1" applyFont="1" applyBorder="1" applyAlignment="1">
      <alignment horizontal="left" vertical="center"/>
    </xf>
    <xf numFmtId="223" fontId="0" fillId="0" borderId="89" xfId="0" applyNumberFormat="1" applyBorder="1" applyAlignment="1">
      <alignment horizontal="left" vertical="center"/>
    </xf>
    <xf numFmtId="223" fontId="0" fillId="0" borderId="90" xfId="0" applyNumberFormat="1" applyBorder="1" applyAlignment="1">
      <alignment horizontal="left" vertical="center"/>
    </xf>
    <xf numFmtId="232" fontId="16" fillId="0" borderId="88" xfId="0" applyNumberFormat="1" applyFont="1" applyBorder="1" applyAlignment="1">
      <alignment horizontal="left" vertical="center"/>
    </xf>
    <xf numFmtId="0" fontId="34" fillId="0" borderId="19" xfId="0" applyFont="1" applyBorder="1" applyAlignment="1" applyProtection="1">
      <alignment horizontal="left" vertical="center"/>
      <protection locked="0"/>
    </xf>
    <xf numFmtId="0" fontId="34" fillId="0" borderId="52" xfId="0" applyFont="1" applyBorder="1" applyAlignment="1" applyProtection="1">
      <alignment horizontal="left" vertical="center"/>
      <protection locked="0"/>
    </xf>
    <xf numFmtId="185" fontId="16" fillId="0" borderId="88" xfId="0" applyNumberFormat="1" applyFont="1" applyBorder="1" applyAlignment="1">
      <alignment horizontal="left" vertical="center"/>
    </xf>
    <xf numFmtId="0" fontId="57" fillId="0" borderId="52" xfId="0" applyFont="1" applyBorder="1" applyAlignment="1" applyProtection="1">
      <alignment horizontal="center" vertical="center"/>
      <protection locked="0"/>
    </xf>
    <xf numFmtId="0" fontId="34" fillId="0" borderId="43" xfId="0" applyFont="1" applyBorder="1" applyAlignment="1" applyProtection="1">
      <alignment horizontal="left" vertical="center"/>
      <protection locked="0"/>
    </xf>
    <xf numFmtId="227" fontId="16" fillId="0" borderId="88" xfId="0" applyNumberFormat="1" applyFont="1" applyBorder="1" applyAlignment="1">
      <alignment horizontal="left" vertical="center"/>
    </xf>
    <xf numFmtId="227" fontId="0" fillId="0" borderId="89" xfId="0" applyNumberFormat="1" applyBorder="1" applyAlignment="1">
      <alignment horizontal="left" vertical="center"/>
    </xf>
    <xf numFmtId="227" fontId="0" fillId="0" borderId="90" xfId="0" applyNumberFormat="1" applyBorder="1" applyAlignment="1">
      <alignment horizontal="left" vertical="center"/>
    </xf>
    <xf numFmtId="178" fontId="16" fillId="0" borderId="88" xfId="0" applyNumberFormat="1" applyFont="1" applyBorder="1" applyAlignment="1">
      <alignment horizontal="left" vertical="center"/>
    </xf>
    <xf numFmtId="226" fontId="16" fillId="0" borderId="88" xfId="0" applyNumberFormat="1" applyFont="1" applyBorder="1" applyAlignment="1">
      <alignment horizontal="left" vertical="center"/>
    </xf>
    <xf numFmtId="226" fontId="0" fillId="0" borderId="89" xfId="0" applyNumberFormat="1" applyBorder="1" applyAlignment="1">
      <alignment horizontal="left" vertical="center"/>
    </xf>
    <xf numFmtId="226" fontId="0" fillId="0" borderId="90" xfId="0" applyNumberFormat="1" applyBorder="1" applyAlignment="1">
      <alignment horizontal="left" vertical="center"/>
    </xf>
    <xf numFmtId="176" fontId="16" fillId="0" borderId="88" xfId="0" applyNumberFormat="1" applyFont="1" applyBorder="1" applyAlignment="1">
      <alignment horizontal="left" vertical="center"/>
    </xf>
    <xf numFmtId="0" fontId="34" fillId="0" borderId="59" xfId="0" applyFont="1" applyBorder="1" applyAlignment="1" applyProtection="1">
      <alignment horizontal="left" vertical="center"/>
      <protection locked="0"/>
    </xf>
    <xf numFmtId="0" fontId="34" fillId="0" borderId="61" xfId="0" applyFont="1" applyBorder="1" applyAlignment="1" applyProtection="1">
      <alignment horizontal="left" vertical="center"/>
      <protection locked="0"/>
    </xf>
    <xf numFmtId="0" fontId="34" fillId="0" borderId="19" xfId="0" applyFont="1" applyBorder="1" applyAlignment="1">
      <alignment horizontal="left" vertical="center" wrapText="1"/>
    </xf>
    <xf numFmtId="0" fontId="34" fillId="0" borderId="52" xfId="0" applyFont="1" applyBorder="1" applyAlignment="1">
      <alignment horizontal="left" vertical="center" wrapText="1"/>
    </xf>
    <xf numFmtId="0" fontId="34" fillId="0" borderId="43" xfId="0" applyFont="1" applyBorder="1" applyAlignment="1">
      <alignment horizontal="left" vertical="center" wrapText="1"/>
    </xf>
    <xf numFmtId="164" fontId="16" fillId="0" borderId="88" xfId="0" applyNumberFormat="1" applyFont="1" applyBorder="1" applyAlignment="1">
      <alignment horizontal="left" vertical="center"/>
    </xf>
    <xf numFmtId="184" fontId="16" fillId="0" borderId="88" xfId="0" applyNumberFormat="1" applyFont="1" applyBorder="1" applyAlignment="1">
      <alignment horizontal="left" vertical="center"/>
    </xf>
    <xf numFmtId="184" fontId="0" fillId="0" borderId="89" xfId="0" applyNumberFormat="1" applyBorder="1" applyAlignment="1">
      <alignment horizontal="left" vertical="center"/>
    </xf>
    <xf numFmtId="184" fontId="0" fillId="0" borderId="90" xfId="0" applyNumberFormat="1" applyBorder="1" applyAlignment="1">
      <alignment horizontal="left" vertical="center"/>
    </xf>
    <xf numFmtId="192" fontId="16" fillId="0" borderId="88" xfId="0" applyNumberFormat="1" applyFont="1" applyBorder="1" applyAlignment="1">
      <alignment horizontal="left" vertical="center"/>
    </xf>
    <xf numFmtId="193" fontId="16" fillId="0" borderId="88" xfId="0" applyNumberFormat="1" applyFont="1" applyBorder="1" applyAlignment="1">
      <alignment horizontal="left" vertical="center"/>
    </xf>
    <xf numFmtId="0" fontId="12" fillId="0" borderId="13" xfId="0" applyFont="1" applyBorder="1" applyAlignment="1">
      <alignment horizontal="left" vertical="center"/>
    </xf>
    <xf numFmtId="0" fontId="12" fillId="0" borderId="33" xfId="0" applyFont="1" applyBorder="1" applyAlignment="1">
      <alignment horizontal="left" vertical="center"/>
    </xf>
    <xf numFmtId="230" fontId="16" fillId="0" borderId="88" xfId="0" applyNumberFormat="1" applyFont="1" applyBorder="1" applyAlignment="1">
      <alignment horizontal="left" vertical="center"/>
    </xf>
    <xf numFmtId="230" fontId="0" fillId="0" borderId="89" xfId="0" applyNumberFormat="1" applyBorder="1" applyAlignment="1">
      <alignment horizontal="left" vertical="center"/>
    </xf>
    <xf numFmtId="230" fontId="0" fillId="0" borderId="90" xfId="0" applyNumberFormat="1" applyBorder="1" applyAlignment="1">
      <alignment horizontal="left" vertical="center"/>
    </xf>
    <xf numFmtId="216" fontId="16" fillId="0" borderId="88" xfId="0" applyNumberFormat="1" applyFont="1" applyBorder="1" applyAlignment="1">
      <alignment horizontal="left" vertical="center"/>
    </xf>
    <xf numFmtId="216" fontId="0" fillId="0" borderId="89" xfId="0" applyNumberFormat="1" applyBorder="1" applyAlignment="1">
      <alignment horizontal="left" vertical="center"/>
    </xf>
    <xf numFmtId="216" fontId="0" fillId="0" borderId="90" xfId="0" applyNumberFormat="1" applyBorder="1" applyAlignment="1">
      <alignment horizontal="left" vertical="center"/>
    </xf>
    <xf numFmtId="166" fontId="16" fillId="0" borderId="88" xfId="0" applyNumberFormat="1" applyFont="1" applyBorder="1" applyAlignment="1">
      <alignment horizontal="left" vertical="center"/>
    </xf>
    <xf numFmtId="187" fontId="16" fillId="0" borderId="88" xfId="0" applyNumberFormat="1" applyFont="1" applyBorder="1" applyAlignment="1">
      <alignment horizontal="left" vertical="center"/>
    </xf>
    <xf numFmtId="219" fontId="16" fillId="0" borderId="88" xfId="0" applyNumberFormat="1" applyFont="1" applyBorder="1" applyAlignment="1">
      <alignment horizontal="left" vertical="center"/>
    </xf>
    <xf numFmtId="219" fontId="0" fillId="0" borderId="89" xfId="0" applyNumberFormat="1" applyBorder="1" applyAlignment="1">
      <alignment horizontal="left" vertical="center"/>
    </xf>
    <xf numFmtId="219" fontId="0" fillId="0" borderId="90" xfId="0" applyNumberFormat="1" applyBorder="1" applyAlignment="1">
      <alignment horizontal="left" vertical="center"/>
    </xf>
    <xf numFmtId="218" fontId="16" fillId="0" borderId="88" xfId="0" applyNumberFormat="1" applyFont="1" applyBorder="1" applyAlignment="1">
      <alignment horizontal="left" vertical="center"/>
    </xf>
    <xf numFmtId="218" fontId="0" fillId="0" borderId="89" xfId="0" applyNumberFormat="1" applyBorder="1" applyAlignment="1">
      <alignment horizontal="left" vertical="center"/>
    </xf>
    <xf numFmtId="218" fontId="0" fillId="0" borderId="90" xfId="0" applyNumberFormat="1" applyBorder="1" applyAlignment="1">
      <alignment horizontal="left" vertical="center"/>
    </xf>
    <xf numFmtId="177" fontId="16" fillId="0" borderId="88" xfId="0" applyNumberFormat="1" applyFont="1" applyBorder="1" applyAlignment="1">
      <alignment horizontal="left" vertical="center"/>
    </xf>
    <xf numFmtId="175" fontId="16" fillId="0" borderId="88" xfId="0" applyNumberFormat="1" applyFont="1" applyBorder="1" applyAlignment="1">
      <alignment horizontal="left" vertical="center"/>
    </xf>
    <xf numFmtId="174" fontId="16" fillId="0" borderId="88" xfId="0" applyNumberFormat="1" applyFont="1" applyBorder="1" applyAlignment="1">
      <alignment horizontal="left" vertical="center"/>
    </xf>
    <xf numFmtId="225" fontId="16" fillId="0" borderId="88" xfId="0" applyNumberFormat="1" applyFont="1" applyBorder="1" applyAlignment="1">
      <alignment horizontal="left" vertical="center"/>
    </xf>
    <xf numFmtId="225" fontId="0" fillId="0" borderId="89" xfId="0" applyNumberFormat="1" applyBorder="1" applyAlignment="1">
      <alignment horizontal="left" vertical="center"/>
    </xf>
    <xf numFmtId="225" fontId="0" fillId="0" borderId="90" xfId="0" applyNumberFormat="1" applyBorder="1" applyAlignment="1">
      <alignment horizontal="left" vertical="center"/>
    </xf>
    <xf numFmtId="0" fontId="0" fillId="0" borderId="82" xfId="0" applyBorder="1" applyAlignment="1">
      <alignment horizontal="left" vertical="center"/>
    </xf>
    <xf numFmtId="231" fontId="16" fillId="0" borderId="88" xfId="0" applyNumberFormat="1" applyFont="1" applyBorder="1" applyAlignment="1">
      <alignment horizontal="left" vertical="center"/>
    </xf>
    <xf numFmtId="231" fontId="0" fillId="0" borderId="89" xfId="0" applyNumberFormat="1" applyBorder="1" applyAlignment="1">
      <alignment horizontal="left" vertical="center"/>
    </xf>
    <xf numFmtId="231" fontId="0" fillId="0" borderId="90" xfId="0" applyNumberFormat="1" applyBorder="1" applyAlignment="1">
      <alignment horizontal="left" vertical="center"/>
    </xf>
    <xf numFmtId="182" fontId="16" fillId="0" borderId="88" xfId="0" applyNumberFormat="1" applyFont="1" applyBorder="1" applyAlignment="1">
      <alignment horizontal="left" vertical="center"/>
    </xf>
    <xf numFmtId="0" fontId="0" fillId="0" borderId="50" xfId="0" applyBorder="1" applyAlignment="1">
      <alignment horizontal="center" vertical="center"/>
    </xf>
    <xf numFmtId="0" fontId="0" fillId="0" borderId="23" xfId="0" applyBorder="1" applyAlignment="1">
      <alignment horizontal="center" vertical="center"/>
    </xf>
    <xf numFmtId="0" fontId="0" fillId="0" borderId="72" xfId="0" applyBorder="1" applyAlignment="1">
      <alignment horizontal="center" vertical="center"/>
    </xf>
    <xf numFmtId="0" fontId="0" fillId="0" borderId="82" xfId="0" applyBorder="1" applyAlignment="1">
      <alignment horizontal="center" vertical="center"/>
    </xf>
    <xf numFmtId="0" fontId="0" fillId="0" borderId="82" xfId="0" applyBorder="1" applyAlignment="1">
      <alignment vertical="center"/>
    </xf>
    <xf numFmtId="0" fontId="0" fillId="0" borderId="81" xfId="0" applyBorder="1" applyAlignment="1">
      <alignment vertical="center"/>
    </xf>
    <xf numFmtId="0" fontId="6" fillId="0" borderId="19" xfId="0" applyFont="1" applyBorder="1" applyAlignment="1">
      <alignment horizontal="center" vertical="center"/>
    </xf>
    <xf numFmtId="0" fontId="6" fillId="0" borderId="52" xfId="0" applyFont="1" applyBorder="1" applyAlignment="1">
      <alignment horizontal="center" vertical="center"/>
    </xf>
    <xf numFmtId="0" fontId="6" fillId="0" borderId="43" xfId="0" applyFont="1" applyBorder="1" applyAlignment="1">
      <alignment horizontal="center" vertical="center"/>
    </xf>
    <xf numFmtId="0" fontId="22" fillId="0" borderId="24" xfId="0" applyFont="1" applyBorder="1" applyAlignment="1">
      <alignment horizontal="center" vertical="center" wrapText="1"/>
    </xf>
    <xf numFmtId="0" fontId="15" fillId="0" borderId="24" xfId="0" applyFont="1" applyBorder="1" applyAlignment="1">
      <alignment horizontal="center" vertical="center" textRotation="90" wrapText="1"/>
    </xf>
    <xf numFmtId="0" fontId="15" fillId="0" borderId="20" xfId="0" applyFont="1" applyBorder="1" applyAlignment="1">
      <alignment horizontal="center" vertical="center" textRotation="90" wrapText="1"/>
    </xf>
    <xf numFmtId="0" fontId="15" fillId="0" borderId="29" xfId="0" applyFont="1" applyBorder="1" applyAlignment="1">
      <alignment horizontal="center" vertical="center" textRotation="90" wrapText="1"/>
    </xf>
    <xf numFmtId="0" fontId="6" fillId="0" borderId="24"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29" xfId="0" applyFont="1" applyBorder="1" applyAlignment="1">
      <alignment horizontal="center" vertical="center" textRotation="90" wrapText="1"/>
    </xf>
    <xf numFmtId="0" fontId="16" fillId="0" borderId="24" xfId="0" applyFont="1" applyBorder="1" applyAlignment="1">
      <alignment horizontal="center" vertical="center" textRotation="90" wrapText="1"/>
    </xf>
    <xf numFmtId="0" fontId="21" fillId="0" borderId="29" xfId="0" applyFont="1" applyBorder="1" applyAlignment="1">
      <alignment horizontal="center" vertical="center" textRotation="90" wrapText="1"/>
    </xf>
    <xf numFmtId="0" fontId="27" fillId="0" borderId="24" xfId="0" applyFont="1" applyBorder="1" applyAlignment="1">
      <alignment vertical="center"/>
    </xf>
    <xf numFmtId="0" fontId="27" fillId="0" borderId="20" xfId="0" applyFont="1" applyBorder="1" applyAlignment="1">
      <alignment vertical="center"/>
    </xf>
    <xf numFmtId="0" fontId="27" fillId="0" borderId="29" xfId="0" applyFont="1" applyBorder="1" applyAlignment="1">
      <alignment vertical="center"/>
    </xf>
    <xf numFmtId="0" fontId="0" fillId="26" borderId="0" xfId="0" applyFill="1" applyAlignment="1">
      <alignment vertical="center"/>
    </xf>
    <xf numFmtId="0" fontId="34" fillId="0" borderId="50" xfId="0" applyFont="1" applyBorder="1" applyAlignment="1">
      <alignment horizontal="left" vertical="center" wrapText="1"/>
    </xf>
    <xf numFmtId="0" fontId="34" fillId="0" borderId="23" xfId="0" applyFont="1" applyBorder="1" applyAlignment="1">
      <alignment horizontal="left" vertical="center" wrapText="1"/>
    </xf>
    <xf numFmtId="0" fontId="34" fillId="0" borderId="56" xfId="0" applyFont="1" applyBorder="1" applyAlignment="1">
      <alignment horizontal="left" vertical="center" wrapText="1"/>
    </xf>
    <xf numFmtId="0" fontId="34" fillId="0" borderId="59" xfId="0" applyFont="1" applyBorder="1" applyAlignment="1">
      <alignment horizontal="left" vertical="center" wrapText="1"/>
    </xf>
    <xf numFmtId="0" fontId="34" fillId="0" borderId="61" xfId="0" applyFont="1" applyBorder="1" applyAlignment="1">
      <alignment horizontal="left" vertical="center" wrapText="1"/>
    </xf>
    <xf numFmtId="0" fontId="34" fillId="0" borderId="57" xfId="0" applyFont="1" applyBorder="1" applyAlignment="1">
      <alignment horizontal="left" vertical="center" wrapText="1"/>
    </xf>
    <xf numFmtId="1" fontId="16" fillId="0" borderId="24" xfId="0" applyNumberFormat="1" applyFont="1" applyBorder="1" applyAlignment="1">
      <alignment horizontal="center" vertical="center"/>
    </xf>
    <xf numFmtId="1" fontId="16" fillId="0" borderId="20" xfId="0" applyNumberFormat="1" applyFont="1" applyBorder="1" applyAlignment="1">
      <alignment horizontal="center" vertical="center"/>
    </xf>
    <xf numFmtId="1" fontId="16" fillId="0" borderId="29" xfId="0" applyNumberFormat="1" applyFont="1" applyBorder="1" applyAlignment="1">
      <alignment horizontal="center" vertical="center"/>
    </xf>
    <xf numFmtId="1" fontId="16" fillId="0" borderId="19" xfId="0" applyNumberFormat="1" applyFont="1" applyBorder="1" applyAlignment="1">
      <alignment horizontal="center" vertical="center"/>
    </xf>
    <xf numFmtId="1" fontId="16" fillId="0" borderId="52" xfId="0" applyNumberFormat="1" applyFont="1" applyBorder="1" applyAlignment="1">
      <alignment horizontal="center" vertical="center"/>
    </xf>
    <xf numFmtId="0" fontId="3" fillId="35" borderId="0" xfId="48" applyFill="1" applyAlignment="1">
      <alignment wrapText="1"/>
    </xf>
    <xf numFmtId="0" fontId="3" fillId="35" borderId="0" xfId="48" applyFill="1"/>
    <xf numFmtId="0" fontId="3" fillId="35" borderId="13" xfId="48" applyFill="1" applyBorder="1" applyAlignment="1">
      <alignment vertical="top" wrapText="1"/>
    </xf>
    <xf numFmtId="0" fontId="3" fillId="35" borderId="13" xfId="48" applyFill="1" applyBorder="1"/>
    <xf numFmtId="0" fontId="105" fillId="35" borderId="0" xfId="48" applyFont="1" applyFill="1" applyAlignment="1">
      <alignment horizontal="left" vertical="center" wrapText="1"/>
    </xf>
    <xf numFmtId="0" fontId="105" fillId="35" borderId="0" xfId="48" applyFont="1" applyFill="1" applyAlignment="1">
      <alignment horizontal="left" vertical="top" wrapText="1"/>
    </xf>
    <xf numFmtId="0" fontId="3" fillId="35" borderId="0" xfId="48" applyFill="1" applyAlignment="1">
      <alignment vertical="top" wrapText="1"/>
    </xf>
    <xf numFmtId="0" fontId="106" fillId="43" borderId="66" xfId="48" applyFont="1" applyFill="1" applyBorder="1" applyAlignment="1">
      <alignment horizontal="center" vertical="center"/>
    </xf>
    <xf numFmtId="0" fontId="106" fillId="43" borderId="52" xfId="48" applyFont="1" applyFill="1" applyBorder="1" applyAlignment="1">
      <alignment horizontal="center" vertical="center"/>
    </xf>
    <xf numFmtId="0" fontId="106" fillId="43" borderId="80" xfId="48" applyFont="1" applyFill="1" applyBorder="1" applyAlignment="1">
      <alignment horizontal="center" vertical="center"/>
    </xf>
    <xf numFmtId="0" fontId="3" fillId="35" borderId="0" xfId="48" applyFill="1" applyAlignment="1">
      <alignment horizontal="left"/>
    </xf>
    <xf numFmtId="0" fontId="2" fillId="35" borderId="0" xfId="48" applyFont="1" applyFill="1" applyAlignment="1">
      <alignment horizontal="left"/>
    </xf>
    <xf numFmtId="0" fontId="58" fillId="0" borderId="24" xfId="0" applyFont="1" applyBorder="1" applyAlignment="1" applyProtection="1">
      <alignment horizontal="center"/>
      <protection locked="0"/>
    </xf>
    <xf numFmtId="0" fontId="58" fillId="0" borderId="29" xfId="0" applyFont="1" applyBorder="1" applyAlignment="1" applyProtection="1">
      <alignment horizontal="center"/>
      <protection locked="0"/>
    </xf>
    <xf numFmtId="0" fontId="58" fillId="0" borderId="19" xfId="0" applyFont="1" applyBorder="1" applyAlignment="1" applyProtection="1">
      <alignment horizontal="center"/>
      <protection locked="0"/>
    </xf>
    <xf numFmtId="0" fontId="58" fillId="0" borderId="43" xfId="0" applyFont="1" applyBorder="1" applyAlignment="1" applyProtection="1">
      <alignment horizontal="center"/>
      <protection locked="0"/>
    </xf>
    <xf numFmtId="0" fontId="58" fillId="0" borderId="59" xfId="0" applyFont="1" applyBorder="1" applyAlignment="1" applyProtection="1">
      <alignment horizontal="center"/>
      <protection locked="0"/>
    </xf>
    <xf numFmtId="0" fontId="58" fillId="0" borderId="57" xfId="0" applyFont="1" applyBorder="1" applyAlignment="1" applyProtection="1">
      <alignment horizontal="center"/>
      <protection locked="0"/>
    </xf>
    <xf numFmtId="0" fontId="0" fillId="0" borderId="33" xfId="0" applyBorder="1"/>
    <xf numFmtId="0" fontId="58" fillId="0" borderId="61" xfId="0" applyFont="1" applyBorder="1" applyAlignment="1" applyProtection="1">
      <alignment horizontal="center"/>
      <protection locked="0"/>
    </xf>
    <xf numFmtId="0" fontId="58" fillId="0" borderId="52" xfId="0" applyFont="1" applyBorder="1" applyAlignment="1" applyProtection="1">
      <alignment horizontal="center"/>
      <protection locked="0"/>
    </xf>
    <xf numFmtId="0" fontId="28" fillId="25" borderId="19" xfId="0" applyFont="1" applyFill="1" applyBorder="1" applyAlignment="1">
      <alignment horizontal="center"/>
    </xf>
    <xf numFmtId="0" fontId="28" fillId="25" borderId="52" xfId="0" applyFont="1" applyFill="1" applyBorder="1" applyAlignment="1">
      <alignment horizontal="center"/>
    </xf>
    <xf numFmtId="0" fontId="0" fillId="0" borderId="52" xfId="0" applyBorder="1" applyAlignment="1">
      <alignment horizontal="center"/>
    </xf>
    <xf numFmtId="0" fontId="0" fillId="0" borderId="43" xfId="0" applyBorder="1" applyAlignment="1">
      <alignment horizontal="center"/>
    </xf>
    <xf numFmtId="0" fontId="58" fillId="0" borderId="51" xfId="0" applyFont="1" applyBorder="1" applyAlignment="1" applyProtection="1">
      <alignment horizontal="center"/>
      <protection locked="0"/>
    </xf>
    <xf numFmtId="0" fontId="58" fillId="0" borderId="60" xfId="0" applyFont="1" applyBorder="1" applyAlignment="1" applyProtection="1">
      <alignment horizontal="center"/>
      <protection locked="0"/>
    </xf>
    <xf numFmtId="0" fontId="58" fillId="0" borderId="50" xfId="0" applyFont="1" applyBorder="1" applyAlignment="1" applyProtection="1">
      <alignment horizontal="center"/>
      <protection locked="0"/>
    </xf>
    <xf numFmtId="0" fontId="58" fillId="0" borderId="56" xfId="0" applyFont="1" applyBorder="1" applyAlignment="1" applyProtection="1">
      <alignment horizontal="center"/>
      <protection locked="0"/>
    </xf>
    <xf numFmtId="0" fontId="58" fillId="0" borderId="20" xfId="0" applyFont="1" applyBorder="1" applyAlignment="1" applyProtection="1">
      <alignment horizontal="center"/>
      <protection locked="0"/>
    </xf>
    <xf numFmtId="0" fontId="58" fillId="0" borderId="23" xfId="0" applyFont="1" applyBorder="1" applyAlignment="1" applyProtection="1">
      <alignment horizontal="center"/>
      <protection locked="0"/>
    </xf>
    <xf numFmtId="0" fontId="58" fillId="0" borderId="36" xfId="0" applyFont="1" applyBorder="1" applyAlignment="1" applyProtection="1">
      <alignment horizontal="center"/>
      <protection locked="0"/>
    </xf>
    <xf numFmtId="0" fontId="58" fillId="0" borderId="33" xfId="0" applyFont="1" applyBorder="1" applyAlignment="1" applyProtection="1">
      <alignment horizontal="center"/>
      <protection locked="0"/>
    </xf>
    <xf numFmtId="0" fontId="58" fillId="0" borderId="72" xfId="0" applyFont="1" applyBorder="1" applyAlignment="1" applyProtection="1">
      <alignment horizontal="center"/>
      <protection locked="0"/>
    </xf>
    <xf numFmtId="0" fontId="58" fillId="0" borderId="82" xfId="0" applyFont="1" applyBorder="1" applyAlignment="1" applyProtection="1">
      <alignment horizontal="center"/>
      <protection locked="0"/>
    </xf>
    <xf numFmtId="0" fontId="58" fillId="0" borderId="81" xfId="0" applyFont="1" applyBorder="1" applyAlignment="1" applyProtection="1">
      <alignment horizontal="center"/>
      <protection locked="0"/>
    </xf>
    <xf numFmtId="0" fontId="58" fillId="0" borderId="42" xfId="0" applyFont="1" applyBorder="1" applyAlignment="1" applyProtection="1">
      <alignment horizontal="center"/>
      <protection locked="0"/>
    </xf>
    <xf numFmtId="0" fontId="0" fillId="0" borderId="29" xfId="0" applyBorder="1"/>
    <xf numFmtId="0" fontId="58" fillId="0" borderId="13" xfId="0" applyFont="1" applyBorder="1" applyAlignment="1" applyProtection="1">
      <alignment horizontal="center"/>
      <protection locked="0"/>
    </xf>
    <xf numFmtId="0" fontId="14" fillId="25" borderId="72" xfId="0" applyFont="1" applyFill="1" applyBorder="1" applyAlignment="1">
      <alignment horizontal="center"/>
    </xf>
    <xf numFmtId="0" fontId="14" fillId="25" borderId="82" xfId="0" applyFont="1" applyFill="1" applyBorder="1" applyAlignment="1">
      <alignment horizontal="center"/>
    </xf>
    <xf numFmtId="0" fontId="0" fillId="0" borderId="82" xfId="0" applyBorder="1" applyAlignment="1">
      <alignment horizontal="center"/>
    </xf>
    <xf numFmtId="0" fontId="0" fillId="0" borderId="81" xfId="0" applyBorder="1" applyAlignment="1">
      <alignment horizontal="center"/>
    </xf>
    <xf numFmtId="0" fontId="0" fillId="34" borderId="29" xfId="0" applyFill="1" applyBorder="1" applyAlignment="1">
      <alignment horizontal="center" vertical="center"/>
    </xf>
    <xf numFmtId="0" fontId="13" fillId="0" borderId="72" xfId="0" applyFont="1" applyBorder="1" applyAlignment="1">
      <alignment horizontal="left"/>
    </xf>
    <xf numFmtId="0" fontId="0" fillId="0" borderId="82" xfId="0" applyBorder="1"/>
    <xf numFmtId="0" fontId="0" fillId="0" borderId="81" xfId="0" applyBorder="1"/>
    <xf numFmtId="0" fontId="0" fillId="0" borderId="144" xfId="0"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86" xfId="0" applyBorder="1"/>
    <xf numFmtId="0" fontId="0" fillId="0" borderId="56" xfId="0" applyBorder="1" applyAlignment="1">
      <alignment horizontal="center" vertical="center"/>
    </xf>
    <xf numFmtId="0" fontId="12" fillId="0" borderId="19" xfId="0" applyFont="1" applyBorder="1" applyAlignment="1">
      <alignment vertical="center" wrapText="1"/>
    </xf>
    <xf numFmtId="0" fontId="0" fillId="0" borderId="52" xfId="0" applyBorder="1" applyAlignment="1">
      <alignment vertical="center" wrapText="1"/>
    </xf>
    <xf numFmtId="0" fontId="0" fillId="0" borderId="43" xfId="0" applyBorder="1" applyAlignment="1">
      <alignment vertical="center" wrapText="1"/>
    </xf>
    <xf numFmtId="201" fontId="16" fillId="0" borderId="88" xfId="0" applyNumberFormat="1" applyFont="1" applyBorder="1" applyAlignment="1">
      <alignment horizontal="left" vertical="center"/>
    </xf>
    <xf numFmtId="210" fontId="16" fillId="0" borderId="88" xfId="0" applyNumberFormat="1" applyFont="1" applyBorder="1" applyAlignment="1">
      <alignment horizontal="left" vertical="center"/>
    </xf>
    <xf numFmtId="0" fontId="34" fillId="0" borderId="72" xfId="0" applyFont="1" applyBorder="1" applyAlignment="1">
      <alignment horizontal="center" vertical="center" wrapText="1"/>
    </xf>
    <xf numFmtId="0" fontId="34" fillId="0" borderId="82" xfId="0" applyFont="1" applyBorder="1" applyAlignment="1">
      <alignment horizontal="center" vertical="center" wrapText="1"/>
    </xf>
    <xf numFmtId="0" fontId="34" fillId="0" borderId="81" xfId="0" applyFont="1" applyBorder="1" applyAlignment="1">
      <alignment horizontal="center" vertical="center" wrapText="1"/>
    </xf>
    <xf numFmtId="0" fontId="49" fillId="0" borderId="36" xfId="0" applyFont="1" applyBorder="1" applyAlignment="1">
      <alignment vertical="center" wrapText="1"/>
    </xf>
    <xf numFmtId="0" fontId="12" fillId="0" borderId="13" xfId="0" applyFont="1" applyBorder="1" applyAlignment="1">
      <alignment vertical="center" wrapText="1"/>
    </xf>
    <xf numFmtId="0" fontId="12" fillId="0" borderId="33" xfId="0" applyFont="1" applyBorder="1" applyAlignment="1">
      <alignment vertical="center" wrapText="1"/>
    </xf>
    <xf numFmtId="190" fontId="0" fillId="0" borderId="89" xfId="0" applyNumberFormat="1" applyBorder="1" applyAlignment="1">
      <alignment horizontal="left" vertical="center"/>
    </xf>
    <xf numFmtId="190" fontId="0" fillId="0" borderId="90" xfId="0" applyNumberFormat="1" applyBorder="1" applyAlignment="1">
      <alignment horizontal="left" vertical="center"/>
    </xf>
    <xf numFmtId="0" fontId="0" fillId="0" borderId="89" xfId="0" applyBorder="1" applyAlignment="1">
      <alignment vertical="center"/>
    </xf>
    <xf numFmtId="0" fontId="57" fillId="0" borderId="36" xfId="0" applyFont="1" applyBorder="1" applyAlignment="1" applyProtection="1">
      <alignment horizontal="center" vertical="center"/>
      <protection locked="0"/>
    </xf>
    <xf numFmtId="0" fontId="57" fillId="0" borderId="33" xfId="0" applyFont="1" applyBorder="1" applyAlignment="1" applyProtection="1">
      <alignment horizontal="center" vertical="center"/>
      <protection locked="0"/>
    </xf>
    <xf numFmtId="173" fontId="16" fillId="0" borderId="88" xfId="0" applyNumberFormat="1" applyFont="1" applyBorder="1" applyAlignment="1">
      <alignment horizontal="left" vertical="center"/>
    </xf>
    <xf numFmtId="188" fontId="16" fillId="0" borderId="88" xfId="0" applyNumberFormat="1" applyFont="1" applyBorder="1" applyAlignment="1">
      <alignment horizontal="left" vertical="center"/>
    </xf>
    <xf numFmtId="209" fontId="16" fillId="0" borderId="88" xfId="0" applyNumberFormat="1" applyFont="1" applyBorder="1" applyAlignment="1">
      <alignment horizontal="left" vertical="center"/>
    </xf>
    <xf numFmtId="0" fontId="14" fillId="0" borderId="24" xfId="0" applyFont="1" applyBorder="1" applyAlignment="1">
      <alignment horizontal="center" vertical="center"/>
    </xf>
    <xf numFmtId="0" fontId="14" fillId="0" borderId="20" xfId="0" applyFont="1" applyBorder="1" applyAlignment="1">
      <alignment horizontal="center" vertical="center"/>
    </xf>
    <xf numFmtId="0" fontId="14" fillId="0" borderId="29" xfId="0" applyFont="1" applyBorder="1" applyAlignment="1">
      <alignment horizontal="center" vertical="center"/>
    </xf>
    <xf numFmtId="0" fontId="0" fillId="0" borderId="19" xfId="0" applyBorder="1" applyAlignment="1">
      <alignment horizontal="center" vertical="center"/>
    </xf>
    <xf numFmtId="0" fontId="0" fillId="0" borderId="52" xfId="0" applyBorder="1" applyAlignment="1">
      <alignment horizontal="center" vertical="center"/>
    </xf>
    <xf numFmtId="0" fontId="0" fillId="0" borderId="43" xfId="0" applyBorder="1" applyAlignment="1">
      <alignment horizontal="center" vertical="center"/>
    </xf>
    <xf numFmtId="222" fontId="16" fillId="0" borderId="88" xfId="0" applyNumberFormat="1" applyFont="1" applyBorder="1" applyAlignment="1">
      <alignment horizontal="left" vertical="center"/>
    </xf>
    <xf numFmtId="222" fontId="0" fillId="0" borderId="89" xfId="0" applyNumberFormat="1" applyBorder="1" applyAlignment="1">
      <alignment horizontal="left" vertical="center"/>
    </xf>
    <xf numFmtId="222" fontId="0" fillId="0" borderId="90" xfId="0" applyNumberFormat="1" applyBorder="1" applyAlignment="1">
      <alignment horizontal="left" vertical="center"/>
    </xf>
    <xf numFmtId="0" fontId="12" fillId="0" borderId="24" xfId="0" applyFont="1" applyBorder="1" applyAlignment="1">
      <alignment vertical="center" wrapText="1"/>
    </xf>
    <xf numFmtId="0" fontId="12" fillId="0" borderId="20" xfId="0" applyFont="1" applyBorder="1" applyAlignment="1">
      <alignment vertical="center" wrapText="1"/>
    </xf>
    <xf numFmtId="0" fontId="12" fillId="0" borderId="29" xfId="0" applyFont="1" applyBorder="1" applyAlignment="1">
      <alignment vertical="center" wrapText="1"/>
    </xf>
    <xf numFmtId="0" fontId="5" fillId="34" borderId="24" xfId="0" applyFont="1" applyFill="1" applyBorder="1" applyAlignment="1">
      <alignment horizontal="center" vertical="center" wrapText="1"/>
    </xf>
    <xf numFmtId="0" fontId="5" fillId="34" borderId="20" xfId="0" applyFont="1" applyFill="1" applyBorder="1" applyAlignment="1">
      <alignment horizontal="center" vertical="center" wrapText="1"/>
    </xf>
    <xf numFmtId="0" fontId="5" fillId="34" borderId="29" xfId="0" applyFont="1" applyFill="1" applyBorder="1" applyAlignment="1">
      <alignment horizontal="center" vertical="center" wrapText="1"/>
    </xf>
    <xf numFmtId="0" fontId="12" fillId="0" borderId="72" xfId="0" applyFont="1"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12" fillId="0" borderId="50" xfId="0" applyFont="1" applyBorder="1" applyAlignment="1">
      <alignment vertical="center" wrapText="1"/>
    </xf>
    <xf numFmtId="0" fontId="0" fillId="0" borderId="23" xfId="0" applyBorder="1" applyAlignment="1">
      <alignment vertical="center" wrapText="1"/>
    </xf>
    <xf numFmtId="0" fontId="0" fillId="0" borderId="56" xfId="0" applyBorder="1" applyAlignment="1">
      <alignment vertical="center" wrapText="1"/>
    </xf>
    <xf numFmtId="0" fontId="0" fillId="25" borderId="43" xfId="0" applyFill="1" applyBorder="1" applyAlignment="1">
      <alignment horizontal="center" vertical="center"/>
    </xf>
    <xf numFmtId="232" fontId="0" fillId="0" borderId="89" xfId="0" applyNumberFormat="1" applyBorder="1" applyAlignment="1">
      <alignment horizontal="left" vertical="center"/>
    </xf>
    <xf numFmtId="232" fontId="0" fillId="0" borderId="90" xfId="0" applyNumberFormat="1" applyBorder="1" applyAlignment="1">
      <alignment horizontal="left" vertical="center"/>
    </xf>
    <xf numFmtId="0" fontId="34" fillId="0" borderId="19" xfId="0" applyFont="1" applyBorder="1" applyAlignment="1">
      <alignment vertical="center" wrapText="1"/>
    </xf>
    <xf numFmtId="0" fontId="34" fillId="0" borderId="52" xfId="0" applyFont="1" applyBorder="1" applyAlignment="1">
      <alignment vertical="center" wrapText="1"/>
    </xf>
    <xf numFmtId="0" fontId="34" fillId="0" borderId="43" xfId="0" applyFont="1" applyBorder="1" applyAlignment="1">
      <alignment vertical="center" wrapText="1"/>
    </xf>
    <xf numFmtId="0" fontId="34" fillId="0" borderId="19" xfId="0" applyFont="1" applyBorder="1" applyAlignment="1" applyProtection="1">
      <alignment vertical="center"/>
      <protection locked="0"/>
    </xf>
    <xf numFmtId="0" fontId="34" fillId="0" borderId="52" xfId="0" applyFont="1" applyBorder="1" applyAlignment="1" applyProtection="1">
      <alignment vertical="center"/>
      <protection locked="0"/>
    </xf>
    <xf numFmtId="0" fontId="34" fillId="0" borderId="43" xfId="0" applyFont="1" applyBorder="1" applyAlignment="1" applyProtection="1">
      <alignment vertical="center"/>
      <protection locked="0"/>
    </xf>
    <xf numFmtId="211" fontId="16" fillId="0" borderId="88" xfId="0" applyNumberFormat="1" applyFont="1" applyBorder="1" applyAlignment="1">
      <alignment horizontal="left" vertical="center"/>
    </xf>
    <xf numFmtId="0" fontId="0" fillId="0" borderId="20" xfId="0" applyBorder="1" applyAlignment="1">
      <alignment vertical="center" wrapText="1"/>
    </xf>
    <xf numFmtId="0" fontId="0" fillId="0" borderId="29" xfId="0" applyBorder="1" applyAlignment="1">
      <alignment vertical="center" wrapText="1"/>
    </xf>
    <xf numFmtId="195" fontId="16" fillId="0" borderId="88" xfId="0" applyNumberFormat="1" applyFont="1" applyBorder="1" applyAlignment="1">
      <alignment horizontal="left" vertical="center"/>
    </xf>
    <xf numFmtId="0" fontId="12" fillId="0" borderId="36" xfId="0" applyFont="1" applyBorder="1" applyAlignment="1">
      <alignment vertical="center" wrapText="1"/>
    </xf>
    <xf numFmtId="0" fontId="0" fillId="0" borderId="19" xfId="0" applyBorder="1" applyAlignment="1">
      <alignment horizontal="left" vertical="center"/>
    </xf>
    <xf numFmtId="220" fontId="16" fillId="0" borderId="88" xfId="0" applyNumberFormat="1" applyFont="1" applyBorder="1" applyAlignment="1">
      <alignment horizontal="left" vertical="center"/>
    </xf>
    <xf numFmtId="220" fontId="0" fillId="0" borderId="89" xfId="0" applyNumberFormat="1" applyBorder="1" applyAlignment="1">
      <alignment horizontal="left" vertical="center"/>
    </xf>
    <xf numFmtId="220" fontId="0" fillId="0" borderId="90" xfId="0" applyNumberFormat="1" applyBorder="1" applyAlignment="1">
      <alignment horizontal="left" vertical="center"/>
    </xf>
    <xf numFmtId="0" fontId="34" fillId="0" borderId="57" xfId="0" applyFont="1" applyBorder="1" applyAlignment="1" applyProtection="1">
      <alignment horizontal="left" vertical="center"/>
      <protection locked="0"/>
    </xf>
    <xf numFmtId="229" fontId="16" fillId="0" borderId="88" xfId="0" applyNumberFormat="1" applyFont="1" applyBorder="1" applyAlignment="1">
      <alignment horizontal="left" vertical="center"/>
    </xf>
    <xf numFmtId="229" fontId="0" fillId="0" borderId="89" xfId="0" applyNumberFormat="1" applyBorder="1" applyAlignment="1">
      <alignment horizontal="left" vertical="center"/>
    </xf>
    <xf numFmtId="229" fontId="0" fillId="0" borderId="90" xfId="0" applyNumberFormat="1" applyBorder="1" applyAlignment="1">
      <alignment horizontal="left" vertical="center"/>
    </xf>
    <xf numFmtId="170" fontId="16" fillId="0" borderId="94" xfId="0" applyNumberFormat="1" applyFont="1" applyBorder="1" applyAlignment="1">
      <alignment horizontal="left" vertical="center"/>
    </xf>
    <xf numFmtId="0" fontId="14" fillId="0" borderId="91" xfId="0" applyFont="1" applyBorder="1" applyAlignment="1">
      <alignment horizontal="center" vertical="center"/>
    </xf>
    <xf numFmtId="0" fontId="14" fillId="0" borderId="92" xfId="0" applyFont="1" applyBorder="1" applyAlignment="1">
      <alignment horizontal="center" vertical="center"/>
    </xf>
    <xf numFmtId="0" fontId="14" fillId="0" borderId="93" xfId="0" applyFont="1" applyBorder="1" applyAlignment="1">
      <alignment horizontal="center" vertical="center"/>
    </xf>
    <xf numFmtId="0" fontId="14" fillId="0" borderId="100" xfId="0" applyFont="1" applyBorder="1" applyAlignment="1">
      <alignment horizontal="center" vertical="center"/>
    </xf>
    <xf numFmtId="0" fontId="14" fillId="0" borderId="101" xfId="0" applyFont="1" applyBorder="1" applyAlignment="1">
      <alignment horizontal="center" vertical="center"/>
    </xf>
    <xf numFmtId="0" fontId="14" fillId="0" borderId="102" xfId="0" applyFont="1" applyBorder="1" applyAlignment="1">
      <alignment horizontal="center" vertical="center"/>
    </xf>
    <xf numFmtId="217" fontId="16" fillId="0" borderId="88" xfId="0" applyNumberFormat="1" applyFont="1" applyBorder="1" applyAlignment="1">
      <alignment horizontal="left" vertical="center"/>
    </xf>
    <xf numFmtId="217" fontId="0" fillId="0" borderId="89" xfId="0" applyNumberFormat="1" applyBorder="1" applyAlignment="1">
      <alignment horizontal="left" vertical="center"/>
    </xf>
    <xf numFmtId="217" fontId="0" fillId="0" borderId="90" xfId="0" applyNumberFormat="1" applyBorder="1" applyAlignment="1">
      <alignment horizontal="left" vertical="center"/>
    </xf>
    <xf numFmtId="198" fontId="16" fillId="0" borderId="88" xfId="0" applyNumberFormat="1" applyFont="1" applyBorder="1" applyAlignment="1">
      <alignment horizontal="left" vertical="center"/>
    </xf>
    <xf numFmtId="197" fontId="16" fillId="0" borderId="97" xfId="0" applyNumberFormat="1" applyFont="1" applyBorder="1" applyAlignment="1">
      <alignment horizontal="left" vertical="center"/>
    </xf>
    <xf numFmtId="0" fontId="0" fillId="0" borderId="98" xfId="0" applyBorder="1" applyAlignment="1">
      <alignment horizontal="left" vertical="center"/>
    </xf>
    <xf numFmtId="0" fontId="0" fillId="0" borderId="99" xfId="0" applyBorder="1" applyAlignment="1">
      <alignment horizontal="left" vertical="center"/>
    </xf>
    <xf numFmtId="196" fontId="16" fillId="0" borderId="88" xfId="0" applyNumberFormat="1" applyFont="1" applyBorder="1" applyAlignment="1">
      <alignment horizontal="left" vertical="center"/>
    </xf>
    <xf numFmtId="0" fontId="0" fillId="0" borderId="95" xfId="0" applyBorder="1"/>
    <xf numFmtId="199" fontId="16" fillId="0" borderId="88" xfId="0" applyNumberFormat="1" applyFont="1" applyBorder="1" applyAlignment="1">
      <alignment horizontal="left" vertical="center"/>
    </xf>
    <xf numFmtId="203" fontId="16" fillId="0" borderId="88" xfId="0" applyNumberFormat="1" applyFont="1" applyBorder="1" applyAlignment="1">
      <alignment horizontal="left" vertical="center"/>
    </xf>
    <xf numFmtId="194" fontId="16" fillId="0" borderId="88" xfId="0" applyNumberFormat="1" applyFont="1" applyBorder="1" applyAlignment="1">
      <alignment horizontal="left" vertical="center"/>
    </xf>
    <xf numFmtId="202" fontId="16" fillId="0" borderId="88" xfId="0" applyNumberFormat="1" applyFont="1" applyBorder="1" applyAlignment="1">
      <alignment horizontal="left" vertical="center"/>
    </xf>
    <xf numFmtId="0" fontId="0" fillId="0" borderId="72" xfId="0" applyBorder="1" applyAlignment="1">
      <alignment horizontal="left" vertical="center"/>
    </xf>
    <xf numFmtId="0" fontId="4" fillId="0" borderId="19" xfId="0" applyFont="1" applyBorder="1" applyAlignment="1">
      <alignment horizontal="center" vertical="center"/>
    </xf>
    <xf numFmtId="0" fontId="4" fillId="0" borderId="52" xfId="0" applyFont="1" applyBorder="1" applyAlignment="1">
      <alignment horizontal="center" vertical="center"/>
    </xf>
    <xf numFmtId="0" fontId="4" fillId="0" borderId="43" xfId="0" applyFont="1" applyBorder="1" applyAlignment="1">
      <alignment horizontal="center" vertical="center"/>
    </xf>
    <xf numFmtId="200" fontId="16" fillId="0" borderId="88" xfId="0" applyNumberFormat="1" applyFont="1" applyBorder="1" applyAlignment="1">
      <alignment horizontal="left" vertical="center"/>
    </xf>
    <xf numFmtId="0" fontId="0" fillId="0" borderId="81" xfId="0" applyBorder="1" applyAlignment="1">
      <alignment horizontal="center" vertical="center"/>
    </xf>
    <xf numFmtId="0" fontId="15" fillId="0" borderId="19"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43"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3" xfId="0" applyFont="1" applyBorder="1" applyAlignment="1">
      <alignment horizontal="center" vertical="center" wrapText="1"/>
    </xf>
    <xf numFmtId="0" fontId="23" fillId="26" borderId="19" xfId="0" applyFont="1" applyFill="1" applyBorder="1" applyAlignment="1">
      <alignment horizontal="center" vertical="center"/>
    </xf>
    <xf numFmtId="1" fontId="16" fillId="0" borderId="50" xfId="0" applyNumberFormat="1" applyFont="1" applyBorder="1" applyAlignment="1">
      <alignment horizontal="center" vertical="center"/>
    </xf>
    <xf numFmtId="1" fontId="16" fillId="0" borderId="23" xfId="0" applyNumberFormat="1" applyFont="1" applyBorder="1" applyAlignment="1">
      <alignment horizontal="center" vertical="center"/>
    </xf>
    <xf numFmtId="0" fontId="23" fillId="26" borderId="50" xfId="0" applyFont="1" applyFill="1" applyBorder="1" applyAlignment="1">
      <alignment horizontal="center" vertical="center"/>
    </xf>
    <xf numFmtId="0" fontId="15" fillId="0" borderId="59"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57"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56" xfId="0" applyFont="1" applyBorder="1" applyAlignment="1">
      <alignment horizontal="center" vertical="center" wrapText="1"/>
    </xf>
    <xf numFmtId="0" fontId="16" fillId="0" borderId="24" xfId="0" applyFont="1" applyBorder="1" applyAlignment="1">
      <alignment horizontal="left" vertical="center" wrapText="1"/>
    </xf>
    <xf numFmtId="0" fontId="16" fillId="0" borderId="20" xfId="0" applyFont="1" applyBorder="1" applyAlignment="1">
      <alignment horizontal="left" vertical="center" wrapText="1"/>
    </xf>
    <xf numFmtId="1" fontId="16" fillId="0" borderId="22" xfId="0" applyNumberFormat="1" applyFont="1" applyBorder="1" applyAlignment="1">
      <alignment horizontal="center" vertical="center"/>
    </xf>
    <xf numFmtId="1" fontId="16" fillId="0" borderId="0" xfId="0" applyNumberFormat="1" applyFont="1" applyAlignment="1">
      <alignment horizontal="center" vertical="center"/>
    </xf>
    <xf numFmtId="0" fontId="23" fillId="26" borderId="22" xfId="0" applyFont="1" applyFill="1" applyBorder="1" applyAlignment="1">
      <alignment horizontal="center" vertical="center"/>
    </xf>
    <xf numFmtId="0" fontId="0" fillId="0" borderId="35" xfId="0" applyBorder="1" applyAlignment="1">
      <alignment horizontal="center" vertical="center"/>
    </xf>
    <xf numFmtId="0" fontId="15" fillId="0" borderId="50"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56" xfId="0" applyFont="1" applyBorder="1" applyAlignment="1">
      <alignment horizontal="center" vertical="center" wrapText="1"/>
    </xf>
    <xf numFmtId="0" fontId="13" fillId="26" borderId="66" xfId="0" applyFont="1" applyFill="1" applyBorder="1" applyAlignment="1">
      <alignment vertical="center"/>
    </xf>
    <xf numFmtId="0" fontId="0" fillId="0" borderId="80" xfId="0" applyBorder="1" applyAlignment="1">
      <alignment vertical="center"/>
    </xf>
    <xf numFmtId="0" fontId="15" fillId="0" borderId="22" xfId="0" applyFont="1" applyBorder="1" applyAlignment="1">
      <alignment horizontal="center" vertical="center" wrapText="1"/>
    </xf>
    <xf numFmtId="0" fontId="15" fillId="0" borderId="0" xfId="0" applyFont="1" applyAlignment="1">
      <alignment horizontal="center" vertical="center" wrapText="1"/>
    </xf>
    <xf numFmtId="0" fontId="15" fillId="0" borderId="35" xfId="0" applyFont="1" applyBorder="1" applyAlignment="1">
      <alignment horizontal="center" vertical="center" wrapText="1"/>
    </xf>
    <xf numFmtId="0" fontId="34" fillId="0" borderId="22" xfId="0" applyFont="1" applyBorder="1" applyAlignment="1">
      <alignment horizontal="left" vertical="center" wrapText="1"/>
    </xf>
    <xf numFmtId="0" fontId="34" fillId="0" borderId="0" xfId="0" applyFont="1" applyAlignment="1">
      <alignment horizontal="left" vertical="center" wrapText="1"/>
    </xf>
    <xf numFmtId="0" fontId="34" fillId="0" borderId="35" xfId="0" applyFont="1" applyBorder="1" applyAlignment="1">
      <alignment horizontal="left" vertical="center" wrapText="1"/>
    </xf>
    <xf numFmtId="0" fontId="6" fillId="0" borderId="22" xfId="0" applyFont="1" applyBorder="1" applyAlignment="1">
      <alignment horizontal="center" vertical="center"/>
    </xf>
    <xf numFmtId="0" fontId="6" fillId="0" borderId="0" xfId="0" applyFont="1" applyAlignment="1">
      <alignment horizontal="center" vertical="center"/>
    </xf>
    <xf numFmtId="0" fontId="6" fillId="0" borderId="35" xfId="0" applyFont="1" applyBorder="1" applyAlignment="1">
      <alignment horizontal="center" vertical="center"/>
    </xf>
    <xf numFmtId="0" fontId="6" fillId="0" borderId="24"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9"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9"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57" xfId="0" applyFont="1" applyBorder="1" applyAlignment="1">
      <alignment horizontal="center" vertical="center" wrapText="1"/>
    </xf>
    <xf numFmtId="0" fontId="21" fillId="0" borderId="20" xfId="0" applyFont="1" applyBorder="1" applyAlignment="1">
      <alignment horizontal="center" vertical="center" textRotation="90" wrapText="1"/>
    </xf>
    <xf numFmtId="0" fontId="16" fillId="0" borderId="20" xfId="0" applyFont="1" applyBorder="1" applyAlignment="1">
      <alignment horizontal="center" vertical="center" textRotation="90" wrapText="1"/>
    </xf>
    <xf numFmtId="0" fontId="16" fillId="0" borderId="29" xfId="0" applyFont="1" applyBorder="1" applyAlignment="1">
      <alignment horizontal="center" vertical="center" textRotation="90" wrapText="1"/>
    </xf>
    <xf numFmtId="0" fontId="34" fillId="34" borderId="62" xfId="0" applyFont="1" applyFill="1" applyBorder="1" applyAlignment="1">
      <alignment horizontal="center" vertical="center"/>
    </xf>
    <xf numFmtId="0" fontId="0" fillId="34" borderId="74" xfId="0" applyFill="1" applyBorder="1" applyAlignment="1">
      <alignment horizontal="center" vertical="center"/>
    </xf>
    <xf numFmtId="205" fontId="59" fillId="25" borderId="24" xfId="0" applyNumberFormat="1" applyFont="1" applyFill="1" applyBorder="1" applyAlignment="1">
      <alignment horizontal="center" vertical="center"/>
    </xf>
    <xf numFmtId="205" fontId="59" fillId="25" borderId="29" xfId="0" applyNumberFormat="1" applyFont="1" applyFill="1" applyBorder="1" applyAlignment="1">
      <alignment horizontal="center" vertical="center"/>
    </xf>
    <xf numFmtId="1" fontId="16" fillId="0" borderId="59" xfId="0" applyNumberFormat="1" applyFont="1" applyBorder="1" applyAlignment="1">
      <alignment horizontal="center" vertical="center"/>
    </xf>
    <xf numFmtId="1" fontId="16" fillId="0" borderId="61" xfId="0" applyNumberFormat="1" applyFont="1" applyBorder="1" applyAlignment="1">
      <alignment horizontal="center" vertical="center"/>
    </xf>
    <xf numFmtId="0" fontId="23" fillId="26" borderId="59" xfId="0" applyFont="1" applyFill="1" applyBorder="1" applyAlignment="1">
      <alignment horizontal="center" vertical="center"/>
    </xf>
    <xf numFmtId="0" fontId="0" fillId="0" borderId="57" xfId="0" applyBorder="1" applyAlignment="1">
      <alignment horizontal="center" vertical="center"/>
    </xf>
    <xf numFmtId="0" fontId="22" fillId="0" borderId="20" xfId="0" applyFont="1" applyBorder="1" applyAlignment="1">
      <alignment horizontal="center" vertical="center" wrapText="1"/>
    </xf>
    <xf numFmtId="0" fontId="22" fillId="0" borderId="29" xfId="0" applyFont="1" applyBorder="1" applyAlignment="1">
      <alignment horizontal="center" vertical="center" wrapText="1"/>
    </xf>
    <xf numFmtId="0" fontId="34" fillId="25" borderId="0" xfId="0" applyFont="1" applyFill="1" applyAlignment="1">
      <alignment horizontal="center" vertical="center"/>
    </xf>
    <xf numFmtId="0" fontId="0" fillId="25" borderId="0" xfId="0" applyFill="1" applyAlignment="1">
      <alignment horizontal="center" vertical="center"/>
    </xf>
    <xf numFmtId="0" fontId="0" fillId="0" borderId="20" xfId="0" applyBorder="1" applyAlignment="1">
      <alignment horizontal="center" vertical="center" wrapText="1"/>
    </xf>
    <xf numFmtId="0" fontId="0" fillId="0" borderId="29" xfId="0" applyBorder="1" applyAlignment="1">
      <alignment horizontal="center" vertical="center" wrapText="1"/>
    </xf>
    <xf numFmtId="0" fontId="94" fillId="35" borderId="106" xfId="52" applyFont="1" applyFill="1" applyBorder="1" applyAlignment="1">
      <alignment horizontal="center"/>
    </xf>
    <xf numFmtId="9" fontId="95" fillId="42" borderId="124" xfId="53" applyFont="1" applyFill="1" applyBorder="1" applyAlignment="1">
      <alignment horizontal="left" vertical="center"/>
    </xf>
    <xf numFmtId="9" fontId="95" fillId="42" borderId="125" xfId="53" applyFont="1" applyFill="1" applyBorder="1" applyAlignment="1">
      <alignment horizontal="left" vertical="center"/>
    </xf>
    <xf numFmtId="9" fontId="95" fillId="42" borderId="126" xfId="53" applyFont="1" applyFill="1" applyBorder="1" applyAlignment="1">
      <alignment horizontal="left" vertical="center"/>
    </xf>
    <xf numFmtId="9" fontId="95" fillId="42" borderId="117" xfId="53" applyFont="1" applyFill="1" applyBorder="1" applyAlignment="1">
      <alignment horizontal="center" vertical="center"/>
    </xf>
    <xf numFmtId="9" fontId="95" fillId="42" borderId="118" xfId="53" applyFont="1" applyFill="1" applyBorder="1" applyAlignment="1">
      <alignment horizontal="center" vertical="center"/>
    </xf>
    <xf numFmtId="0" fontId="93" fillId="0" borderId="147" xfId="53" applyNumberFormat="1" applyFont="1" applyFill="1" applyBorder="1" applyAlignment="1">
      <alignment horizontal="right"/>
    </xf>
    <xf numFmtId="0" fontId="93" fillId="0" borderId="119" xfId="53" applyNumberFormat="1" applyFont="1" applyFill="1" applyBorder="1" applyAlignment="1">
      <alignment horizontal="right"/>
    </xf>
    <xf numFmtId="0" fontId="93" fillId="0" borderId="137" xfId="53" applyNumberFormat="1" applyFont="1" applyFill="1" applyBorder="1" applyAlignment="1">
      <alignment horizontal="right"/>
    </xf>
    <xf numFmtId="0" fontId="100" fillId="35" borderId="136" xfId="52" applyFont="1" applyFill="1" applyBorder="1" applyAlignment="1">
      <alignment horizontal="center" vertical="center"/>
    </xf>
    <xf numFmtId="0" fontId="100" fillId="35" borderId="137" xfId="52" applyFont="1" applyFill="1" applyBorder="1" applyAlignment="1">
      <alignment horizontal="center" vertical="center"/>
    </xf>
    <xf numFmtId="0" fontId="100" fillId="35" borderId="119" xfId="52" applyFont="1" applyFill="1" applyBorder="1" applyAlignment="1">
      <alignment horizontal="center" vertical="center"/>
    </xf>
    <xf numFmtId="0" fontId="100" fillId="35" borderId="138" xfId="52" applyFont="1" applyFill="1" applyBorder="1" applyAlignment="1">
      <alignment horizontal="center" vertical="center"/>
    </xf>
    <xf numFmtId="0" fontId="95" fillId="42" borderId="123" xfId="52" applyFont="1" applyFill="1" applyBorder="1" applyAlignment="1">
      <alignment horizontal="left" vertical="center"/>
    </xf>
    <xf numFmtId="0" fontId="95" fillId="42" borderId="52" xfId="52" applyFont="1" applyFill="1" applyBorder="1" applyAlignment="1">
      <alignment horizontal="left" vertical="center"/>
    </xf>
    <xf numFmtId="0" fontId="95" fillId="42" borderId="80" xfId="52" applyFont="1" applyFill="1" applyBorder="1" applyAlignment="1">
      <alignment horizontal="left" vertical="center"/>
    </xf>
    <xf numFmtId="228" fontId="96" fillId="42" borderId="26" xfId="52" applyNumberFormat="1" applyFont="1" applyFill="1" applyBorder="1" applyAlignment="1">
      <alignment horizontal="center" vertical="center"/>
    </xf>
    <xf numFmtId="228" fontId="96" fillId="42" borderId="114" xfId="52" applyNumberFormat="1" applyFont="1" applyFill="1" applyBorder="1" applyAlignment="1">
      <alignment horizontal="center" vertical="center"/>
    </xf>
    <xf numFmtId="0" fontId="96" fillId="38" borderId="123" xfId="52" applyFont="1" applyFill="1" applyBorder="1" applyAlignment="1">
      <alignment horizontal="left" vertical="center"/>
    </xf>
    <xf numFmtId="0" fontId="96" fillId="38" borderId="52" xfId="52" applyFont="1" applyFill="1" applyBorder="1" applyAlignment="1">
      <alignment horizontal="left" vertical="center"/>
    </xf>
    <xf numFmtId="0" fontId="96" fillId="38" borderId="80" xfId="52" applyFont="1" applyFill="1" applyBorder="1" applyAlignment="1">
      <alignment horizontal="left" vertical="center"/>
    </xf>
    <xf numFmtId="228" fontId="95" fillId="40" borderId="26" xfId="52" applyNumberFormat="1" applyFont="1" applyFill="1" applyBorder="1" applyAlignment="1" applyProtection="1">
      <alignment horizontal="center" vertical="center"/>
      <protection locked="0"/>
    </xf>
    <xf numFmtId="228" fontId="95" fillId="40" borderId="114" xfId="52" applyNumberFormat="1" applyFont="1" applyFill="1" applyBorder="1" applyAlignment="1" applyProtection="1">
      <alignment horizontal="center" vertical="center"/>
      <protection locked="0"/>
    </xf>
    <xf numFmtId="0" fontId="94" fillId="35" borderId="119" xfId="52" applyFont="1" applyFill="1" applyBorder="1" applyAlignment="1">
      <alignment horizontal="center"/>
    </xf>
    <xf numFmtId="0" fontId="98" fillId="35" borderId="120" xfId="52" applyFont="1" applyFill="1" applyBorder="1" applyAlignment="1">
      <alignment horizontal="left" vertical="center"/>
    </xf>
    <xf numFmtId="0" fontId="98" fillId="35" borderId="109" xfId="52" applyFont="1" applyFill="1" applyBorder="1" applyAlignment="1">
      <alignment horizontal="left" vertical="center"/>
    </xf>
    <xf numFmtId="228" fontId="95" fillId="40" borderId="108" xfId="52" applyNumberFormat="1" applyFont="1" applyFill="1" applyBorder="1" applyAlignment="1" applyProtection="1">
      <alignment horizontal="center" vertical="center"/>
      <protection locked="0"/>
    </xf>
    <xf numFmtId="228" fontId="95" fillId="40" borderId="110" xfId="52" applyNumberFormat="1" applyFont="1" applyFill="1" applyBorder="1" applyAlignment="1" applyProtection="1">
      <alignment horizontal="center" vertical="center"/>
      <protection locked="0"/>
    </xf>
    <xf numFmtId="0" fontId="96" fillId="35" borderId="121" xfId="52" applyFont="1" applyFill="1" applyBorder="1" applyAlignment="1">
      <alignment horizontal="center" vertical="center"/>
    </xf>
    <xf numFmtId="0" fontId="98" fillId="35" borderId="123" xfId="52" applyFont="1" applyFill="1" applyBorder="1" applyAlignment="1">
      <alignment horizontal="left" vertical="center"/>
    </xf>
    <xf numFmtId="0" fontId="98" fillId="35" borderId="52" xfId="52" applyFont="1" applyFill="1" applyBorder="1" applyAlignment="1">
      <alignment horizontal="left" vertical="center"/>
    </xf>
    <xf numFmtId="0" fontId="98" fillId="35" borderId="80" xfId="52" applyFont="1" applyFill="1" applyBorder="1" applyAlignment="1">
      <alignment horizontal="left" vertical="center"/>
    </xf>
    <xf numFmtId="0" fontId="96" fillId="35" borderId="26" xfId="52" applyFont="1" applyFill="1" applyBorder="1" applyAlignment="1">
      <alignment horizontal="center" vertical="center"/>
    </xf>
    <xf numFmtId="0" fontId="96" fillId="35" borderId="114" xfId="52" applyFont="1" applyFill="1" applyBorder="1" applyAlignment="1">
      <alignment horizontal="center" vertical="center"/>
    </xf>
    <xf numFmtId="0" fontId="101" fillId="35" borderId="119" xfId="52" applyFont="1" applyFill="1" applyBorder="1" applyAlignment="1">
      <alignment horizontal="center" vertical="center"/>
    </xf>
    <xf numFmtId="0" fontId="101" fillId="35" borderId="138" xfId="52" applyFont="1" applyFill="1" applyBorder="1" applyAlignment="1">
      <alignment horizontal="center" vertical="center"/>
    </xf>
    <xf numFmtId="9" fontId="95" fillId="0" borderId="119" xfId="53" applyFont="1" applyFill="1" applyBorder="1" applyAlignment="1">
      <alignment horizontal="center"/>
    </xf>
    <xf numFmtId="9" fontId="95" fillId="42" borderId="123" xfId="53" applyFont="1" applyFill="1" applyBorder="1" applyAlignment="1">
      <alignment horizontal="left" vertical="center"/>
    </xf>
    <xf numFmtId="9" fontId="95" fillId="42" borderId="52" xfId="53" applyFont="1" applyFill="1" applyBorder="1" applyAlignment="1">
      <alignment horizontal="left" vertical="center"/>
    </xf>
    <xf numFmtId="9" fontId="95" fillId="42" borderId="80" xfId="53" applyFont="1" applyFill="1" applyBorder="1" applyAlignment="1">
      <alignment horizontal="left" vertical="center"/>
    </xf>
    <xf numFmtId="9" fontId="95" fillId="42" borderId="131" xfId="53" applyFont="1" applyFill="1" applyBorder="1" applyAlignment="1">
      <alignment horizontal="center" vertical="center"/>
    </xf>
    <xf numFmtId="9" fontId="95" fillId="42" borderId="132" xfId="53" applyFont="1" applyFill="1" applyBorder="1" applyAlignment="1">
      <alignment horizontal="center" vertical="center"/>
    </xf>
    <xf numFmtId="0" fontId="93" fillId="0" borderId="124" xfId="53" applyNumberFormat="1" applyFont="1" applyFill="1" applyBorder="1" applyAlignment="1">
      <alignment horizontal="right"/>
    </xf>
    <xf numFmtId="0" fontId="93" fillId="0" borderId="125" xfId="53" applyNumberFormat="1" applyFont="1" applyFill="1" applyBorder="1" applyAlignment="1">
      <alignment horizontal="right"/>
    </xf>
    <xf numFmtId="0" fontId="93" fillId="0" borderId="126" xfId="53" applyNumberFormat="1" applyFont="1" applyFill="1" applyBorder="1" applyAlignment="1">
      <alignment horizontal="right"/>
    </xf>
    <xf numFmtId="9" fontId="100" fillId="0" borderId="134" xfId="53" applyFont="1" applyFill="1" applyBorder="1" applyAlignment="1">
      <alignment horizontal="center" vertical="center"/>
    </xf>
    <xf numFmtId="9" fontId="100" fillId="0" borderId="126" xfId="53" applyFont="1" applyFill="1" applyBorder="1" applyAlignment="1">
      <alignment horizontal="center" vertical="center"/>
    </xf>
    <xf numFmtId="9" fontId="100" fillId="0" borderId="125" xfId="53" applyFont="1" applyFill="1" applyBorder="1" applyAlignment="1">
      <alignment horizontal="center" vertical="center"/>
    </xf>
    <xf numFmtId="9" fontId="100" fillId="0" borderId="135" xfId="53" applyFont="1" applyFill="1" applyBorder="1" applyAlignment="1">
      <alignment horizontal="center" vertical="center"/>
    </xf>
    <xf numFmtId="9" fontId="95" fillId="42" borderId="26" xfId="53" applyFont="1" applyFill="1" applyBorder="1" applyAlignment="1">
      <alignment horizontal="center" vertical="center"/>
    </xf>
    <xf numFmtId="9" fontId="95" fillId="42" borderId="114" xfId="53" applyFont="1" applyFill="1" applyBorder="1" applyAlignment="1">
      <alignment horizontal="center" vertical="center"/>
    </xf>
    <xf numFmtId="0" fontId="100" fillId="0" borderId="129" xfId="53" applyNumberFormat="1" applyFont="1" applyFill="1" applyBorder="1" applyAlignment="1">
      <alignment horizontal="center" vertical="center"/>
    </xf>
    <xf numFmtId="0" fontId="100" fillId="0" borderId="130" xfId="53" applyNumberFormat="1" applyFont="1" applyFill="1" applyBorder="1" applyAlignment="1">
      <alignment horizontal="center" vertical="center"/>
    </xf>
    <xf numFmtId="0" fontId="7" fillId="35" borderId="108" xfId="52" applyFont="1" applyFill="1" applyBorder="1" applyAlignment="1">
      <alignment horizontal="center" vertical="center"/>
    </xf>
    <xf numFmtId="0" fontId="7" fillId="35" borderId="133" xfId="52" applyFont="1" applyFill="1" applyBorder="1" applyAlignment="1">
      <alignment horizontal="center" vertical="center"/>
    </xf>
    <xf numFmtId="0" fontId="96" fillId="35" borderId="123" xfId="52" applyFont="1" applyFill="1" applyBorder="1" applyAlignment="1">
      <alignment horizontal="left" vertical="center"/>
    </xf>
    <xf numFmtId="0" fontId="96" fillId="35" borderId="52" xfId="52" applyFont="1" applyFill="1" applyBorder="1" applyAlignment="1">
      <alignment horizontal="left" vertical="center"/>
    </xf>
    <xf numFmtId="0" fontId="96" fillId="35" borderId="80" xfId="52" applyFont="1" applyFill="1" applyBorder="1" applyAlignment="1">
      <alignment horizontal="left" vertical="center"/>
    </xf>
    <xf numFmtId="0" fontId="7" fillId="0" borderId="108" xfId="52" applyFont="1" applyBorder="1" applyAlignment="1">
      <alignment horizontal="center" vertical="center"/>
    </xf>
    <xf numFmtId="0" fontId="7" fillId="0" borderId="133" xfId="52" applyFont="1" applyBorder="1" applyAlignment="1">
      <alignment horizontal="center" vertical="center"/>
    </xf>
    <xf numFmtId="0" fontId="100" fillId="0" borderId="117" xfId="53" applyNumberFormat="1" applyFont="1" applyFill="1" applyBorder="1" applyAlignment="1">
      <alignment horizontal="center" vertical="center"/>
    </xf>
    <xf numFmtId="0" fontId="100" fillId="0" borderId="118" xfId="53" applyNumberFormat="1" applyFont="1" applyFill="1" applyBorder="1" applyAlignment="1">
      <alignment horizontal="center" vertical="center"/>
    </xf>
    <xf numFmtId="0" fontId="100" fillId="0" borderId="127" xfId="53" applyNumberFormat="1" applyFont="1" applyFill="1" applyBorder="1" applyAlignment="1">
      <alignment horizontal="center" vertical="center"/>
    </xf>
    <xf numFmtId="0" fontId="100" fillId="0" borderId="115" xfId="53" applyNumberFormat="1" applyFont="1" applyFill="1" applyBorder="1" applyAlignment="1">
      <alignment horizontal="center" vertical="center"/>
    </xf>
    <xf numFmtId="0" fontId="100" fillId="0" borderId="116" xfId="53" applyNumberFormat="1" applyFont="1" applyFill="1" applyBorder="1" applyAlignment="1">
      <alignment horizontal="center" vertical="center"/>
    </xf>
    <xf numFmtId="0" fontId="100" fillId="0" borderId="128" xfId="53" applyNumberFormat="1" applyFont="1" applyFill="1" applyBorder="1" applyAlignment="1">
      <alignment horizontal="center" vertical="center"/>
    </xf>
    <xf numFmtId="228" fontId="95" fillId="40" borderId="121" xfId="52" applyNumberFormat="1" applyFont="1" applyFill="1" applyBorder="1" applyAlignment="1" applyProtection="1">
      <alignment horizontal="center" vertical="center"/>
      <protection locked="0"/>
    </xf>
    <xf numFmtId="228" fontId="95" fillId="40" borderId="122" xfId="52" applyNumberFormat="1" applyFont="1" applyFill="1" applyBorder="1" applyAlignment="1" applyProtection="1">
      <alignment horizontal="center" vertical="center"/>
      <protection locked="0"/>
    </xf>
    <xf numFmtId="9" fontId="95" fillId="42" borderId="123" xfId="53" applyFont="1" applyFill="1" applyBorder="1" applyAlignment="1">
      <alignment horizontal="left"/>
    </xf>
    <xf numFmtId="9" fontId="95" fillId="42" borderId="52" xfId="53" applyFont="1" applyFill="1" applyBorder="1" applyAlignment="1">
      <alignment horizontal="left"/>
    </xf>
    <xf numFmtId="9" fontId="95" fillId="42" borderId="80" xfId="53" applyFont="1" applyFill="1" applyBorder="1" applyAlignment="1">
      <alignment horizontal="left"/>
    </xf>
    <xf numFmtId="0" fontId="95" fillId="35" borderId="111" xfId="52" applyFont="1" applyFill="1" applyBorder="1" applyAlignment="1">
      <alignment horizontal="right" vertical="center" wrapText="1"/>
    </xf>
    <xf numFmtId="0" fontId="95" fillId="35" borderId="0" xfId="52" applyFont="1" applyFill="1" applyAlignment="1">
      <alignment horizontal="right" vertical="center" wrapText="1"/>
    </xf>
    <xf numFmtId="0" fontId="95" fillId="35" borderId="112" xfId="52" applyFont="1" applyFill="1" applyBorder="1" applyAlignment="1">
      <alignment horizontal="right" vertical="center" wrapText="1"/>
    </xf>
    <xf numFmtId="0" fontId="95" fillId="42" borderId="26" xfId="52" applyFont="1" applyFill="1" applyBorder="1" applyAlignment="1">
      <alignment horizontal="left" vertical="center" wrapText="1"/>
    </xf>
    <xf numFmtId="0" fontId="95" fillId="42" borderId="114" xfId="52" applyFont="1" applyFill="1" applyBorder="1" applyAlignment="1">
      <alignment horizontal="left" vertical="center" wrapText="1"/>
    </xf>
    <xf numFmtId="0" fontId="96" fillId="35" borderId="105" xfId="52" applyFont="1" applyFill="1" applyBorder="1" applyAlignment="1">
      <alignment horizontal="right" vertical="center" wrapText="1"/>
    </xf>
    <xf numFmtId="0" fontId="96" fillId="35" borderId="106" xfId="52" applyFont="1" applyFill="1" applyBorder="1" applyAlignment="1">
      <alignment horizontal="right" vertical="center" wrapText="1"/>
    </xf>
    <xf numFmtId="0" fontId="96" fillId="35" borderId="107" xfId="52" applyFont="1" applyFill="1" applyBorder="1" applyAlignment="1">
      <alignment horizontal="right" vertical="center" wrapText="1"/>
    </xf>
    <xf numFmtId="14" fontId="95" fillId="40" borderId="108" xfId="52" applyNumberFormat="1" applyFont="1" applyFill="1" applyBorder="1" applyAlignment="1" applyProtection="1">
      <alignment horizontal="center" vertical="center" wrapText="1"/>
      <protection locked="0"/>
    </xf>
    <xf numFmtId="14" fontId="95" fillId="40" borderId="109" xfId="52" applyNumberFormat="1" applyFont="1" applyFill="1" applyBorder="1" applyAlignment="1" applyProtection="1">
      <alignment horizontal="center" vertical="center" wrapText="1"/>
      <protection locked="0"/>
    </xf>
    <xf numFmtId="14" fontId="95" fillId="40" borderId="110" xfId="52" applyNumberFormat="1" applyFont="1" applyFill="1" applyBorder="1" applyAlignment="1" applyProtection="1">
      <alignment horizontal="center" vertical="center" wrapText="1"/>
      <protection locked="0"/>
    </xf>
    <xf numFmtId="0" fontId="96" fillId="35" borderId="111" xfId="52" applyFont="1" applyFill="1" applyBorder="1" applyAlignment="1">
      <alignment horizontal="right" vertical="center" wrapText="1"/>
    </xf>
    <xf numFmtId="0" fontId="96" fillId="35" borderId="0" xfId="52" applyFont="1" applyFill="1" applyAlignment="1">
      <alignment horizontal="right" vertical="center" wrapText="1"/>
    </xf>
    <xf numFmtId="0" fontId="96" fillId="35" borderId="112" xfId="52" applyFont="1" applyFill="1" applyBorder="1" applyAlignment="1">
      <alignment horizontal="right" vertical="center" wrapText="1"/>
    </xf>
    <xf numFmtId="0" fontId="57" fillId="40" borderId="66" xfId="52" applyFont="1" applyFill="1" applyBorder="1" applyAlignment="1" applyProtection="1">
      <alignment horizontal="center" vertical="center" wrapText="1"/>
      <protection locked="0"/>
    </xf>
    <xf numFmtId="0" fontId="57" fillId="40" borderId="52" xfId="52" applyFont="1" applyFill="1" applyBorder="1" applyAlignment="1" applyProtection="1">
      <alignment horizontal="center" vertical="center" wrapText="1"/>
      <protection locked="0"/>
    </xf>
    <xf numFmtId="0" fontId="57" fillId="40" borderId="113" xfId="52" applyFont="1" applyFill="1" applyBorder="1" applyAlignment="1" applyProtection="1">
      <alignment horizontal="center" vertical="center" wrapText="1"/>
      <protection locked="0"/>
    </xf>
    <xf numFmtId="0" fontId="8" fillId="40" borderId="66" xfId="52" applyFont="1" applyFill="1" applyBorder="1" applyAlignment="1" applyProtection="1">
      <alignment horizontal="center" vertical="center" wrapText="1"/>
      <protection locked="0"/>
    </xf>
    <xf numFmtId="0" fontId="8" fillId="40" borderId="52" xfId="52" applyFont="1" applyFill="1" applyBorder="1" applyAlignment="1" applyProtection="1">
      <alignment horizontal="center" vertical="center" wrapText="1"/>
      <protection locked="0"/>
    </xf>
    <xf numFmtId="0" fontId="8" fillId="40" borderId="113" xfId="52" applyFont="1" applyFill="1" applyBorder="1" applyAlignment="1" applyProtection="1">
      <alignment horizontal="center" vertical="center" wrapText="1"/>
      <protection locked="0"/>
    </xf>
    <xf numFmtId="0" fontId="110" fillId="35" borderId="106" xfId="52" applyFont="1" applyFill="1" applyBorder="1" applyAlignment="1">
      <alignment horizontal="center" vertical="center" wrapText="1"/>
    </xf>
    <xf numFmtId="0" fontId="110" fillId="35" borderId="0" xfId="52" applyFont="1" applyFill="1" applyAlignment="1">
      <alignment horizontal="center" vertical="center" wrapText="1"/>
    </xf>
    <xf numFmtId="0" fontId="8" fillId="26" borderId="0" xfId="47" applyFont="1" applyFill="1" applyAlignment="1">
      <alignment horizontal="left" vertical="top" wrapText="1"/>
    </xf>
    <xf numFmtId="0" fontId="8" fillId="26" borderId="23" xfId="47" applyFont="1" applyFill="1" applyBorder="1" applyAlignment="1">
      <alignment horizontal="left" vertical="top" wrapText="1"/>
    </xf>
    <xf numFmtId="0" fontId="8" fillId="26" borderId="0" xfId="47" applyFont="1" applyFill="1" applyAlignment="1">
      <alignment horizontal="center" vertical="top" wrapText="1"/>
    </xf>
    <xf numFmtId="0" fontId="8" fillId="26" borderId="23" xfId="47" applyFont="1" applyFill="1" applyBorder="1" applyAlignment="1">
      <alignment horizontal="center" vertical="top" wrapText="1"/>
    </xf>
    <xf numFmtId="0" fontId="8" fillId="26" borderId="0" xfId="52" applyFont="1" applyFill="1" applyAlignment="1">
      <alignment horizontal="center" vertical="top" wrapText="1"/>
    </xf>
    <xf numFmtId="0" fontId="8" fillId="26" borderId="23" xfId="52" applyFont="1" applyFill="1" applyBorder="1" applyAlignment="1">
      <alignment horizontal="center" vertical="top" wrapText="1"/>
    </xf>
    <xf numFmtId="0" fontId="6" fillId="34" borderId="26" xfId="52" applyFont="1" applyFill="1" applyBorder="1" applyAlignment="1">
      <alignment horizontal="center" vertical="center" wrapText="1"/>
    </xf>
    <xf numFmtId="0" fontId="7" fillId="0" borderId="80" xfId="52" applyFont="1" applyBorder="1" applyAlignment="1">
      <alignment horizontal="center" vertical="center" textRotation="90"/>
    </xf>
    <xf numFmtId="0" fontId="7" fillId="0" borderId="26" xfId="52" applyFont="1" applyBorder="1" applyAlignment="1">
      <alignment horizontal="center" vertical="center" textRotation="90"/>
    </xf>
    <xf numFmtId="0" fontId="7" fillId="0" borderId="66" xfId="52" applyFont="1" applyBorder="1" applyAlignment="1">
      <alignment horizontal="center" vertical="center" textRotation="90"/>
    </xf>
    <xf numFmtId="0" fontId="95" fillId="35" borderId="67" xfId="52" applyFont="1" applyFill="1" applyBorder="1" applyAlignment="1">
      <alignment horizontal="left" vertical="center" wrapText="1"/>
    </xf>
    <xf numFmtId="0" fontId="95" fillId="35" borderId="42" xfId="52" applyFont="1" applyFill="1" applyBorder="1" applyAlignment="1">
      <alignment horizontal="left" vertical="center" wrapText="1"/>
    </xf>
    <xf numFmtId="0" fontId="95" fillId="35" borderId="104" xfId="52" applyFont="1" applyFill="1" applyBorder="1" applyAlignment="1">
      <alignment horizontal="left" vertical="center" wrapText="1"/>
    </xf>
    <xf numFmtId="0" fontId="34" fillId="34" borderId="54" xfId="0" applyFont="1" applyFill="1" applyBorder="1" applyAlignment="1">
      <alignment horizontal="center" vertical="center"/>
    </xf>
    <xf numFmtId="0" fontId="34" fillId="34" borderId="53" xfId="0" applyFont="1" applyFill="1" applyBorder="1" applyAlignment="1">
      <alignment horizontal="center" vertical="center"/>
    </xf>
    <xf numFmtId="0" fontId="34" fillId="34" borderId="48" xfId="0" applyFont="1" applyFill="1" applyBorder="1" applyAlignment="1">
      <alignment horizontal="center" vertical="center"/>
    </xf>
    <xf numFmtId="0" fontId="34" fillId="34" borderId="24" xfId="0" applyFont="1" applyFill="1" applyBorder="1" applyAlignment="1">
      <alignment horizontal="center" vertical="center"/>
    </xf>
    <xf numFmtId="0" fontId="34" fillId="34" borderId="20" xfId="0" applyFont="1" applyFill="1" applyBorder="1" applyAlignment="1">
      <alignment horizontal="center" vertical="center"/>
    </xf>
    <xf numFmtId="0" fontId="34" fillId="34" borderId="29" xfId="0" applyFont="1" applyFill="1" applyBorder="1" applyAlignment="1">
      <alignment horizontal="center" vertical="center"/>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xr:uid="{00000000-0005-0000-0000-000018000000}"/>
    <cellStyle name="Controlecel" xfId="26" xr:uid="{00000000-0005-0000-0000-000019000000}"/>
    <cellStyle name="Gekoppelde cel" xfId="27" xr:uid="{00000000-0005-0000-0000-00001A000000}"/>
    <cellStyle name="Goed" xfId="28" xr:uid="{00000000-0005-0000-0000-00001B000000}"/>
    <cellStyle name="Hyperlink" xfId="49" builtinId="8"/>
    <cellStyle name="Hyperlink 2" xfId="46" xr:uid="{00000000-0005-0000-0000-00001D000000}"/>
    <cellStyle name="Invoer" xfId="29" xr:uid="{00000000-0005-0000-0000-00001E000000}"/>
    <cellStyle name="Kop 1" xfId="30" xr:uid="{00000000-0005-0000-0000-00001F000000}"/>
    <cellStyle name="Kop 2" xfId="31" xr:uid="{00000000-0005-0000-0000-000020000000}"/>
    <cellStyle name="Kop 3" xfId="32" xr:uid="{00000000-0005-0000-0000-000021000000}"/>
    <cellStyle name="Kop 4" xfId="33" xr:uid="{00000000-0005-0000-0000-000022000000}"/>
    <cellStyle name="Neutraal" xfId="34" xr:uid="{00000000-0005-0000-0000-000023000000}"/>
    <cellStyle name="Normal" xfId="0" builtinId="0"/>
    <cellStyle name="Normal 2" xfId="35" xr:uid="{00000000-0005-0000-0000-000025000000}"/>
    <cellStyle name="Normal 2 2" xfId="47" xr:uid="{00000000-0005-0000-0000-000026000000}"/>
    <cellStyle name="Normal 3" xfId="44" xr:uid="{00000000-0005-0000-0000-000027000000}"/>
    <cellStyle name="Normal 3 2" xfId="50" xr:uid="{00000000-0005-0000-0000-000028000000}"/>
    <cellStyle name="Normal 3 2 2" xfId="52" xr:uid="{6433D718-479B-413C-9C0E-2AD36AD6298C}"/>
    <cellStyle name="Normal 4" xfId="48" xr:uid="{00000000-0005-0000-0000-000029000000}"/>
    <cellStyle name="Notitie" xfId="36" xr:uid="{00000000-0005-0000-0000-00002A000000}"/>
    <cellStyle name="Ongeldig" xfId="37" xr:uid="{00000000-0005-0000-0000-00002B000000}"/>
    <cellStyle name="Per cent" xfId="38" builtinId="5"/>
    <cellStyle name="Percent 2" xfId="45" xr:uid="{00000000-0005-0000-0000-00002D000000}"/>
    <cellStyle name="Percent 2 2" xfId="51" xr:uid="{00000000-0005-0000-0000-00002E000000}"/>
    <cellStyle name="Percent 2 2 2" xfId="53" xr:uid="{38891580-A216-497B-BD9A-8DA8E50F468A}"/>
    <cellStyle name="Titel" xfId="39" xr:uid="{00000000-0005-0000-0000-00002F000000}"/>
    <cellStyle name="Totaal" xfId="40" xr:uid="{00000000-0005-0000-0000-000030000000}"/>
    <cellStyle name="Uitvoer" xfId="41" xr:uid="{00000000-0005-0000-0000-000031000000}"/>
    <cellStyle name="Verklarende tekst" xfId="42" xr:uid="{00000000-0005-0000-0000-000032000000}"/>
    <cellStyle name="Waarschuwingstekst" xfId="43" xr:uid="{00000000-0005-0000-0000-000033000000}"/>
  </cellStyles>
  <dxfs count="668">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patternType="none">
          <bgColor auto="1"/>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patternType="none">
          <bgColor auto="1"/>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theme="0"/>
        </patternFill>
      </fill>
    </dxf>
    <dxf>
      <fill>
        <patternFill>
          <bgColor theme="0"/>
        </patternFill>
      </fill>
    </dxf>
    <dxf>
      <fill>
        <patternFill>
          <bgColor rgb="FF00B0F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patternType="lightUp">
          <bgColor auto="1"/>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ont>
        <color rgb="FF00FF00"/>
      </font>
      <fill>
        <patternFill>
          <bgColor rgb="FF00FF00"/>
        </patternFill>
      </fill>
    </dxf>
    <dxf>
      <font>
        <color rgb="FFFF0000"/>
      </font>
      <fill>
        <patternFill>
          <bgColor rgb="FFFF0000"/>
        </patternFill>
      </fill>
    </dxf>
    <dxf>
      <font>
        <color rgb="FF00FF00"/>
      </font>
      <fill>
        <patternFill>
          <bgColor rgb="FF00FF00"/>
        </patternFill>
      </fill>
    </dxf>
    <dxf>
      <font>
        <color rgb="FFFF0000"/>
      </font>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00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patternType="lightUp">
          <bgColor auto="1"/>
        </patternFill>
      </fill>
    </dxf>
    <dxf>
      <fill>
        <patternFill>
          <bgColor rgb="FFFF0000"/>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patternType="lightUp">
          <bgColor auto="1"/>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patternType="lightUp">
          <bgColor auto="1"/>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patternType="lightUp">
          <fgColor auto="1"/>
          <bgColor auto="1"/>
        </patternFill>
      </fill>
    </dxf>
    <dxf>
      <fill>
        <patternFill patternType="lightUp">
          <bgColor auto="1"/>
        </patternFill>
      </fill>
    </dxf>
    <dxf>
      <fill>
        <patternFill>
          <bgColor rgb="FFFF00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00FF00"/>
        </patternFill>
      </fill>
    </dxf>
    <dxf>
      <fill>
        <patternFill>
          <bgColor rgb="FFFF0000"/>
        </patternFill>
      </fill>
    </dxf>
    <dxf>
      <fill>
        <patternFill patternType="lightUp">
          <bgColor auto="1"/>
        </patternFill>
      </fill>
    </dxf>
    <dxf>
      <fill>
        <patternFill patternType="lightUp">
          <fgColor auto="1"/>
          <bgColor auto="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14"/>
        </patternFill>
      </fill>
    </dxf>
    <dxf>
      <fill>
        <patternFill>
          <bgColor indexed="40"/>
        </patternFill>
      </fill>
    </dxf>
    <dxf>
      <fill>
        <patternFill>
          <bgColor indexed="40"/>
        </patternFill>
      </fill>
    </dxf>
    <dxf>
      <fill>
        <patternFill>
          <bgColor indexed="14"/>
        </patternFill>
      </fill>
    </dxf>
    <dxf>
      <fill>
        <patternFill>
          <bgColor indexed="14"/>
        </patternFill>
      </fill>
    </dxf>
    <dxf>
      <fill>
        <patternFill>
          <bgColor indexed="40"/>
        </patternFill>
      </fill>
    </dxf>
    <dxf>
      <fill>
        <patternFill>
          <bgColor indexed="40"/>
        </patternFill>
      </fill>
    </dxf>
    <dxf>
      <fill>
        <patternFill>
          <bgColor indexed="14"/>
        </patternFill>
      </fill>
    </dxf>
    <dxf>
      <font>
        <condense val="0"/>
        <extend val="0"/>
        <color indexed="8"/>
      </font>
      <fill>
        <patternFill>
          <bgColor indexed="40"/>
        </patternFill>
      </fill>
    </dxf>
    <dxf>
      <fill>
        <patternFill>
          <bgColor indexed="14"/>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40"/>
        </patternFill>
      </fill>
    </dxf>
    <dxf>
      <fill>
        <patternFill>
          <bgColor indexed="14"/>
        </patternFill>
      </fill>
    </dxf>
    <dxf>
      <fill>
        <patternFill patternType="none">
          <bgColor indexed="65"/>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ill>
        <patternFill>
          <bgColor indexed="40"/>
        </patternFill>
      </fill>
    </dxf>
    <dxf>
      <fill>
        <patternFill>
          <bgColor indexed="40"/>
        </patternFill>
      </fill>
    </dxf>
    <dxf>
      <fill>
        <patternFill>
          <bgColor rgb="FF00CCFF"/>
        </patternFill>
      </fill>
    </dxf>
    <dxf>
      <fill>
        <patternFill>
          <bgColor indexed="40"/>
        </patternFill>
      </fill>
    </dxf>
    <dxf>
      <fill>
        <patternFill>
          <bgColor indexed="40"/>
        </patternFill>
      </fill>
    </dxf>
    <dxf>
      <fill>
        <patternFill patternType="solid">
          <bgColor theme="0"/>
        </patternFill>
      </fill>
    </dxf>
    <dxf>
      <fill>
        <patternFill>
          <bgColor indexed="40"/>
        </patternFill>
      </fill>
    </dxf>
    <dxf>
      <fill>
        <patternFill patternType="solid">
          <bgColor indexed="9"/>
        </patternFill>
      </fill>
    </dxf>
    <dxf>
      <fill>
        <patternFill patternType="solid">
          <bgColor indexed="9"/>
        </patternFill>
      </fill>
    </dxf>
    <dxf>
      <fill>
        <patternFill>
          <bgColor indexed="40"/>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bgColor indexed="40"/>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9"/>
        </patternFill>
      </fill>
    </dxf>
    <dxf>
      <fill>
        <patternFill>
          <bgColor indexed="40"/>
        </patternFill>
      </fill>
    </dxf>
    <dxf>
      <fill>
        <patternFill>
          <bgColor indexed="40"/>
        </patternFill>
      </fill>
    </dxf>
    <dxf>
      <fill>
        <patternFill>
          <bgColor indexed="9"/>
        </patternFill>
      </fill>
    </dxf>
    <dxf>
      <fill>
        <patternFill>
          <bgColor indexed="40"/>
        </patternFill>
      </fill>
    </dxf>
    <dxf>
      <fill>
        <patternFill>
          <bgColor rgb="FF00CCFF"/>
        </patternFill>
      </fill>
    </dxf>
    <dxf>
      <fill>
        <patternFill>
          <bgColor rgb="FFFFFFFF"/>
        </patternFill>
      </fill>
    </dxf>
    <dxf>
      <fill>
        <patternFill>
          <bgColor rgb="FF00CCFF"/>
        </patternFill>
      </fill>
    </dxf>
    <dxf>
      <fill>
        <patternFill>
          <bgColor rgb="FF00CCFF"/>
        </patternFill>
      </fill>
    </dxf>
    <dxf>
      <fill>
        <patternFill>
          <bgColor rgb="FF00CCFF"/>
        </patternFill>
      </fill>
    </dxf>
    <dxf>
      <fill>
        <patternFill>
          <bgColor theme="0"/>
        </patternFill>
      </fill>
    </dxf>
    <dxf>
      <fill>
        <patternFill>
          <bgColor rgb="FF00CCFF"/>
        </patternFill>
      </fill>
    </dxf>
    <dxf>
      <fill>
        <patternFill>
          <bgColor rgb="FF00CCFF"/>
        </patternFill>
      </fill>
    </dxf>
    <dxf>
      <fill>
        <patternFill>
          <bgColor rgb="FF00CCFF"/>
        </patternFill>
      </fill>
    </dxf>
    <dxf>
      <fill>
        <patternFill>
          <bgColor rgb="FF00CCFF"/>
        </patternFill>
      </fill>
    </dxf>
    <dxf>
      <fill>
        <patternFill>
          <bgColor rgb="FF00CCFF"/>
        </patternFill>
      </fill>
    </dxf>
    <dxf>
      <fill>
        <patternFill>
          <bgColor rgb="FF00CCFF"/>
        </patternFill>
      </fill>
    </dxf>
    <dxf>
      <fill>
        <patternFill>
          <bgColor rgb="FF00CCFF"/>
        </patternFill>
      </fill>
    </dxf>
    <dxf>
      <fill>
        <patternFill>
          <bgColor rgb="FF00CCFF"/>
        </patternFill>
      </fill>
    </dxf>
    <dxf>
      <fill>
        <patternFill>
          <bgColor rgb="FF00CCFF"/>
        </patternFill>
      </fill>
    </dxf>
    <dxf>
      <fill>
        <patternFill>
          <bgColor rgb="FF00CCFF"/>
        </patternFill>
      </fill>
    </dxf>
    <dxf>
      <fill>
        <patternFill>
          <bgColor rgb="FF00CCFF"/>
        </patternFill>
      </fill>
    </dxf>
    <dxf>
      <font>
        <condense val="0"/>
        <extend val="0"/>
        <color auto="1"/>
      </font>
      <fill>
        <patternFill patternType="none">
          <bgColor indexed="65"/>
        </patternFill>
      </fill>
    </dxf>
    <dxf>
      <fill>
        <patternFill>
          <bgColor indexed="40"/>
        </patternFill>
      </fill>
    </dxf>
    <dxf>
      <font>
        <condense val="0"/>
        <extend val="0"/>
        <color auto="1"/>
      </font>
      <fill>
        <patternFill patternType="none">
          <bgColor indexed="65"/>
        </patternFill>
      </fill>
    </dxf>
    <dxf>
      <fill>
        <patternFill>
          <bgColor indexed="40"/>
        </patternFill>
      </fill>
    </dxf>
    <dxf>
      <fill>
        <patternFill>
          <bgColor theme="0"/>
        </patternFill>
      </fill>
    </dxf>
    <dxf>
      <font>
        <condense val="0"/>
        <extend val="0"/>
        <color auto="1"/>
      </font>
      <fill>
        <patternFill patternType="none">
          <bgColor indexed="65"/>
        </patternFill>
      </fill>
    </dxf>
    <dxf>
      <fill>
        <patternFill>
          <bgColor indexed="40"/>
        </patternFill>
      </fill>
    </dxf>
    <dxf>
      <fill>
        <patternFill>
          <bgColor indexed="40"/>
        </patternFill>
      </fill>
    </dxf>
    <dxf>
      <fill>
        <patternFill>
          <bgColor indexed="40"/>
        </patternFill>
      </fill>
    </dxf>
    <dxf>
      <fill>
        <patternFill>
          <bgColor rgb="FF00CCFF"/>
        </patternFill>
      </fill>
    </dxf>
    <dxf>
      <fill>
        <patternFill>
          <bgColor indexed="40"/>
        </patternFill>
      </fill>
    </dxf>
    <dxf>
      <fill>
        <patternFill>
          <bgColor rgb="FF00CCFF"/>
        </patternFill>
      </fill>
    </dxf>
    <dxf>
      <fill>
        <patternFill>
          <bgColor indexed="40"/>
        </patternFill>
      </fill>
    </dxf>
    <dxf>
      <fill>
        <patternFill>
          <bgColor indexed="40"/>
        </patternFill>
      </fill>
    </dxf>
    <dxf>
      <fill>
        <patternFill>
          <bgColor indexed="40"/>
        </patternFill>
      </fill>
    </dxf>
    <dxf>
      <fill>
        <patternFill>
          <bgColor rgb="FF00CCFF"/>
        </patternFill>
      </fill>
    </dxf>
    <dxf>
      <fill>
        <patternFill patternType="none">
          <bgColor auto="1"/>
        </patternFill>
      </fill>
    </dxf>
    <dxf>
      <fill>
        <patternFill>
          <bgColor indexed="40"/>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patternType="solid">
          <bgColor indexed="9"/>
        </patternFill>
      </fill>
    </dxf>
    <dxf>
      <fill>
        <patternFill>
          <bgColor indexed="40"/>
        </patternFill>
      </fill>
    </dxf>
    <dxf>
      <fill>
        <patternFill>
          <bgColor rgb="FF00CCFF"/>
        </patternFill>
      </fill>
    </dxf>
    <dxf>
      <fill>
        <patternFill>
          <bgColor theme="0"/>
        </patternFill>
      </fill>
    </dxf>
    <dxf>
      <fill>
        <patternFill>
          <bgColor indexed="40"/>
        </patternFill>
      </fill>
    </dxf>
    <dxf>
      <fill>
        <patternFill>
          <bgColor rgb="FF00CCFF"/>
        </patternFill>
      </fill>
    </dxf>
    <dxf>
      <fill>
        <patternFill>
          <bgColor theme="0"/>
        </patternFill>
      </fill>
    </dxf>
    <dxf>
      <fill>
        <patternFill>
          <bgColor rgb="FF00CCFF"/>
        </patternFill>
      </fill>
    </dxf>
    <dxf>
      <fill>
        <patternFill>
          <bgColor theme="0"/>
        </patternFill>
      </fill>
    </dxf>
    <dxf>
      <fill>
        <patternFill>
          <bgColor rgb="FF00CCFF"/>
        </patternFill>
      </fill>
    </dxf>
    <dxf>
      <fill>
        <patternFill>
          <bgColor theme="0"/>
        </patternFill>
      </fill>
    </dxf>
    <dxf>
      <fill>
        <patternFill>
          <bgColor rgb="FF00CCFF"/>
        </patternFill>
      </fill>
    </dxf>
    <dxf>
      <fill>
        <patternFill>
          <bgColor rgb="FF00CCFF"/>
        </patternFill>
      </fill>
    </dxf>
    <dxf>
      <fill>
        <patternFill>
          <bgColor theme="0"/>
        </patternFill>
      </fill>
    </dxf>
    <dxf>
      <fill>
        <patternFill>
          <bgColor theme="0"/>
        </patternFill>
      </fill>
    </dxf>
    <dxf>
      <fill>
        <patternFill>
          <bgColor theme="0"/>
        </patternFill>
      </fill>
    </dxf>
    <dxf>
      <fill>
        <patternFill>
          <bgColor rgb="FF00CCFF"/>
        </patternFill>
      </fill>
    </dxf>
    <dxf>
      <fill>
        <patternFill>
          <bgColor theme="0"/>
        </patternFill>
      </fill>
    </dxf>
    <dxf>
      <fill>
        <patternFill>
          <bgColor rgb="FF00CCFF"/>
        </patternFill>
      </fill>
    </dxf>
    <dxf>
      <fill>
        <patternFill>
          <bgColor theme="0"/>
        </patternFill>
      </fill>
    </dxf>
    <dxf>
      <fill>
        <patternFill>
          <bgColor indexed="40"/>
        </patternFill>
      </fill>
    </dxf>
    <dxf>
      <fill>
        <patternFill>
          <bgColor rgb="FFFFFFFF"/>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bgColor indexed="40"/>
        </patternFill>
      </fill>
    </dxf>
    <dxf>
      <fill>
        <patternFill>
          <bgColor theme="0"/>
        </patternFill>
      </fill>
    </dxf>
    <dxf>
      <fill>
        <patternFill>
          <bgColor indexed="40"/>
        </patternFill>
      </fill>
    </dxf>
    <dxf>
      <fill>
        <patternFill>
          <bgColor theme="0"/>
        </patternFill>
      </fill>
    </dxf>
    <dxf>
      <fill>
        <patternFill>
          <bgColor indexed="40"/>
        </patternFill>
      </fill>
    </dxf>
    <dxf>
      <fill>
        <patternFill>
          <bgColor theme="0"/>
        </patternFill>
      </fill>
    </dxf>
    <dxf>
      <fill>
        <patternFill>
          <bgColor indexed="40"/>
        </patternFill>
      </fill>
    </dxf>
    <dxf>
      <fill>
        <patternFill>
          <bgColor rgb="FF00CCFF"/>
        </patternFill>
      </fill>
    </dxf>
    <dxf>
      <fill>
        <patternFill>
          <bgColor indexed="40"/>
        </patternFill>
      </fill>
    </dxf>
    <dxf>
      <fill>
        <patternFill>
          <bgColor theme="0"/>
        </patternFill>
      </fill>
    </dxf>
    <dxf>
      <fill>
        <patternFill>
          <bgColor indexed="40"/>
        </patternFill>
      </fill>
    </dxf>
    <dxf>
      <fill>
        <patternFill>
          <bgColor rgb="FF00CCFF"/>
        </patternFill>
      </fill>
    </dxf>
    <dxf>
      <fill>
        <patternFill>
          <bgColor indexed="40"/>
        </patternFill>
      </fill>
    </dxf>
    <dxf>
      <fill>
        <patternFill>
          <bgColor theme="0"/>
        </patternFill>
      </fill>
    </dxf>
    <dxf>
      <fill>
        <patternFill>
          <bgColor indexed="40"/>
        </patternFill>
      </fill>
    </dxf>
    <dxf>
      <fill>
        <patternFill>
          <bgColor indexed="40"/>
        </patternFill>
      </fill>
    </dxf>
    <dxf>
      <fill>
        <patternFill>
          <bgColor indexed="40"/>
        </patternFill>
      </fill>
    </dxf>
    <dxf>
      <fill>
        <patternFill>
          <bgColor theme="0"/>
        </patternFill>
      </fill>
    </dxf>
    <dxf>
      <fill>
        <patternFill>
          <bgColor indexed="40"/>
        </patternFill>
      </fill>
    </dxf>
    <dxf>
      <fill>
        <patternFill>
          <bgColor rgb="FF00CCFF"/>
        </patternFill>
      </fill>
    </dxf>
    <dxf>
      <fill>
        <patternFill>
          <bgColor indexed="40"/>
        </patternFill>
      </fill>
    </dxf>
    <dxf>
      <fill>
        <patternFill patternType="solid">
          <bgColor indexed="9"/>
        </patternFill>
      </fill>
    </dxf>
    <dxf>
      <fill>
        <patternFill patternType="solid">
          <bgColor indexed="9"/>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indexed="40"/>
        </patternFill>
      </fill>
    </dxf>
    <dxf>
      <fill>
        <patternFill patternType="none">
          <bgColor auto="1"/>
        </patternFill>
      </fill>
    </dxf>
    <dxf>
      <fill>
        <patternFill>
          <bgColor indexed="40"/>
        </patternFill>
      </fill>
    </dxf>
    <dxf>
      <fill>
        <patternFill>
          <bgColor indexed="40"/>
        </patternFill>
      </fill>
    </dxf>
    <dxf>
      <fill>
        <patternFill patternType="solid">
          <bgColor indexed="9"/>
        </patternFill>
      </fill>
    </dxf>
    <dxf>
      <fill>
        <patternFill>
          <bgColor indexed="40"/>
        </patternFill>
      </fill>
    </dxf>
    <dxf>
      <fill>
        <patternFill>
          <bgColor indexed="40"/>
        </patternFill>
      </fill>
    </dxf>
    <dxf>
      <fill>
        <patternFill patternType="solid">
          <bgColor indexed="9"/>
        </patternFill>
      </fill>
    </dxf>
    <dxf>
      <fill>
        <patternFill>
          <bgColor indexed="40"/>
        </patternFill>
      </fill>
    </dxf>
    <dxf>
      <fill>
        <patternFill>
          <bgColor indexed="40"/>
        </patternFill>
      </fill>
    </dxf>
    <dxf>
      <fill>
        <patternFill patternType="solid">
          <bgColor theme="0"/>
        </patternFill>
      </fill>
    </dxf>
    <dxf>
      <fill>
        <patternFill patternType="solid">
          <bgColor indexed="9"/>
        </patternFill>
      </fill>
    </dxf>
    <dxf>
      <fill>
        <patternFill>
          <bgColor indexed="40"/>
        </patternFill>
      </fill>
    </dxf>
    <dxf>
      <fill>
        <patternFill>
          <bgColor indexed="40"/>
        </patternFill>
      </fill>
    </dxf>
    <dxf>
      <fill>
        <patternFill>
          <bgColor indexed="40"/>
        </patternFill>
      </fill>
    </dxf>
    <dxf>
      <fill>
        <patternFill patternType="solid">
          <bgColor indexed="9"/>
        </patternFill>
      </fill>
    </dxf>
    <dxf>
      <fill>
        <patternFill patternType="solid">
          <bgColor indexed="9"/>
        </patternFill>
      </fill>
    </dxf>
    <dxf>
      <fill>
        <patternFill>
          <bgColor indexed="40"/>
        </patternFill>
      </fill>
    </dxf>
    <dxf>
      <fill>
        <patternFill>
          <bgColor indexed="40"/>
        </patternFill>
      </fill>
    </dxf>
    <dxf>
      <fill>
        <patternFill>
          <bgColor indexed="40"/>
        </patternFill>
      </fill>
    </dxf>
    <dxf>
      <fill>
        <patternFill patternType="solid">
          <bgColor theme="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patternType="none">
          <bgColor auto="1"/>
        </patternFill>
      </fill>
    </dxf>
    <dxf>
      <fill>
        <patternFill>
          <bgColor rgb="FFC0C0C0"/>
        </patternFill>
      </fill>
    </dxf>
    <dxf>
      <fill>
        <patternFill>
          <bgColor rgb="FFC0C0C0"/>
        </patternFill>
      </fill>
    </dxf>
    <dxf>
      <fill>
        <patternFill>
          <bgColor indexed="14"/>
        </patternFill>
      </fill>
    </dxf>
    <dxf>
      <font>
        <condense val="0"/>
        <extend val="0"/>
        <color indexed="8"/>
      </font>
      <fill>
        <patternFill>
          <bgColor indexed="40"/>
        </patternFill>
      </fill>
    </dxf>
    <dxf>
      <fill>
        <patternFill patternType="none">
          <bgColor indexed="65"/>
        </patternFill>
      </fill>
    </dxf>
    <dxf>
      <fill>
        <patternFill patternType="solid">
          <bgColor indexed="22"/>
        </patternFill>
      </fill>
    </dxf>
    <dxf>
      <fill>
        <patternFill>
          <bgColor indexed="22"/>
        </patternFill>
      </fill>
    </dxf>
    <dxf>
      <fill>
        <patternFill>
          <bgColor indexed="22"/>
        </patternFill>
      </fill>
    </dxf>
    <dxf>
      <fill>
        <patternFill patternType="none">
          <bgColor indexed="65"/>
        </patternFill>
      </fill>
    </dxf>
    <dxf>
      <fill>
        <patternFill>
          <bgColor indexed="22"/>
        </patternFill>
      </fill>
    </dxf>
    <dxf>
      <fill>
        <patternFill>
          <bgColor indexed="14"/>
        </patternFill>
      </fill>
    </dxf>
    <dxf>
      <font>
        <condense val="0"/>
        <extend val="0"/>
        <color indexed="8"/>
      </font>
      <fill>
        <patternFill>
          <bgColor indexed="40"/>
        </patternFill>
      </fill>
    </dxf>
    <dxf>
      <fill>
        <patternFill>
          <bgColor indexed="22"/>
        </patternFill>
      </fill>
    </dxf>
    <dxf>
      <fill>
        <patternFill patternType="none">
          <bgColor indexed="65"/>
        </patternFill>
      </fill>
    </dxf>
    <dxf>
      <fill>
        <patternFill>
          <bgColor indexed="22"/>
        </patternFill>
      </fill>
    </dxf>
    <dxf>
      <fill>
        <patternFill>
          <bgColor indexed="9"/>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theme="0"/>
        </patternFill>
      </fill>
    </dxf>
    <dxf>
      <fill>
        <patternFill>
          <bgColor rgb="FFC0C0C0"/>
        </patternFill>
      </fill>
    </dxf>
    <dxf>
      <fill>
        <patternFill>
          <bgColor theme="0"/>
        </patternFill>
      </fill>
    </dxf>
    <dxf>
      <fill>
        <patternFill>
          <bgColor rgb="FFC0C0C0"/>
        </patternFill>
      </fill>
    </dxf>
    <dxf>
      <fill>
        <patternFill>
          <bgColor rgb="FFC0C0C0"/>
        </patternFill>
      </fill>
    </dxf>
    <dxf>
      <fill>
        <patternFill>
          <bgColor rgb="FFC0C0C0"/>
        </patternFill>
      </fill>
    </dxf>
    <dxf>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patternType="none">
          <bgColor indexed="65"/>
        </patternFill>
      </fill>
    </dxf>
    <dxf>
      <fill>
        <patternFill>
          <bgColor indexed="22"/>
        </patternFill>
      </fill>
    </dxf>
    <dxf>
      <fill>
        <patternFill>
          <bgColor indexed="14"/>
        </patternFill>
      </fill>
    </dxf>
    <dxf>
      <fill>
        <patternFill>
          <bgColor indexed="40"/>
        </patternFill>
      </fill>
    </dxf>
    <dxf>
      <fill>
        <patternFill>
          <bgColor indexed="40"/>
        </patternFill>
      </fill>
    </dxf>
    <dxf>
      <fill>
        <patternFill>
          <bgColor indexed="14"/>
        </patternFill>
      </fill>
    </dxf>
    <dxf>
      <fill>
        <patternFill>
          <bgColor rgb="FFC0C0C0"/>
        </patternFill>
      </fill>
    </dxf>
    <dxf>
      <fill>
        <patternFill>
          <bgColor rgb="FFC0C0C0"/>
        </patternFill>
      </fill>
    </dxf>
    <dxf>
      <fill>
        <patternFill>
          <bgColor rgb="FFFFFFFF"/>
        </patternFill>
      </fill>
    </dxf>
    <dxf>
      <fill>
        <patternFill>
          <bgColor rgb="FFC0C0C0"/>
        </patternFill>
      </fill>
    </dxf>
    <dxf>
      <fill>
        <patternFill>
          <bgColor rgb="FFFFFFFF"/>
        </patternFill>
      </fill>
    </dxf>
    <dxf>
      <fill>
        <patternFill>
          <bgColor indexed="14"/>
        </patternFill>
      </fill>
    </dxf>
    <dxf>
      <fill>
        <patternFill>
          <bgColor indexed="40"/>
        </patternFill>
      </fill>
    </dxf>
    <dxf>
      <fill>
        <patternFill>
          <bgColor indexed="8"/>
        </patternFill>
      </fill>
    </dxf>
    <dxf>
      <fill>
        <patternFill patternType="none">
          <bgColor indexed="65"/>
        </patternFill>
      </fill>
    </dxf>
    <dxf>
      <fill>
        <patternFill>
          <bgColor indexed="22"/>
        </patternFill>
      </fill>
    </dxf>
    <dxf>
      <fill>
        <patternFill patternType="none">
          <bgColor indexed="65"/>
        </patternFill>
      </fill>
    </dxf>
    <dxf>
      <fill>
        <patternFill>
          <bgColor indexed="22"/>
        </patternFill>
      </fill>
    </dxf>
    <dxf>
      <fill>
        <patternFill patternType="none">
          <bgColor auto="1"/>
        </patternFill>
      </fill>
    </dxf>
    <dxf>
      <fill>
        <patternFill patternType="none">
          <bgColor auto="1"/>
        </patternFill>
      </fill>
    </dxf>
    <dxf>
      <fill>
        <patternFill>
          <bgColor rgb="FFC0C0C0"/>
        </patternFill>
      </fill>
    </dxf>
    <dxf>
      <fill>
        <patternFill patternType="none">
          <bgColor auto="1"/>
        </patternFill>
      </fill>
    </dxf>
    <dxf>
      <fill>
        <patternFill>
          <bgColor rgb="FFC0C0C0"/>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8"/>
        </patternFill>
      </fill>
    </dxf>
    <dxf>
      <fill>
        <patternFill patternType="none">
          <bgColor indexed="65"/>
        </patternFill>
      </fill>
    </dxf>
    <dxf>
      <fill>
        <patternFill>
          <bgColor indexed="22"/>
        </patternFill>
      </fill>
    </dxf>
    <dxf>
      <fill>
        <patternFill patternType="none">
          <bgColor indexed="65"/>
        </patternFill>
      </fill>
    </dxf>
    <dxf>
      <fill>
        <patternFill>
          <bgColor indexed="14"/>
        </patternFill>
      </fill>
    </dxf>
    <dxf>
      <fill>
        <patternFill>
          <bgColor indexed="40"/>
        </patternFill>
      </fill>
    </dxf>
    <dxf>
      <fill>
        <patternFill patternType="none">
          <bgColor auto="1"/>
        </patternFill>
      </fill>
    </dxf>
    <dxf>
      <fill>
        <patternFill>
          <bgColor rgb="FFC0C0C0"/>
        </patternFill>
      </fill>
    </dxf>
    <dxf>
      <fill>
        <patternFill>
          <bgColor indexed="40"/>
        </patternFill>
      </fill>
    </dxf>
    <dxf>
      <fill>
        <patternFill>
          <bgColor indexed="14"/>
        </patternFill>
      </fill>
    </dxf>
    <dxf>
      <fill>
        <patternFill patternType="none">
          <bgColor indexed="65"/>
        </patternFill>
      </fill>
    </dxf>
    <dxf>
      <fill>
        <patternFill>
          <bgColor indexed="22"/>
        </patternFill>
      </fill>
    </dxf>
    <dxf>
      <fill>
        <patternFill>
          <bgColor indexed="14"/>
        </patternFill>
      </fill>
    </dxf>
    <dxf>
      <fill>
        <patternFill>
          <bgColor indexed="40"/>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patternType="none">
          <bgColor auto="1"/>
        </patternFill>
      </fill>
    </dxf>
    <dxf>
      <fill>
        <patternFill>
          <bgColor rgb="FFC0C0C0"/>
        </patternFill>
      </fill>
    </dxf>
    <dxf>
      <fill>
        <patternFill>
          <bgColor rgb="FFC0C0C0"/>
        </patternFill>
      </fill>
    </dxf>
    <dxf>
      <fill>
        <patternFill patternType="none">
          <bgColor indexed="65"/>
        </patternFill>
      </fill>
    </dxf>
    <dxf>
      <fill>
        <patternFill>
          <bgColor indexed="22"/>
        </patternFill>
      </fill>
    </dxf>
    <dxf>
      <fill>
        <patternFill>
          <bgColor indexed="40"/>
        </patternFill>
      </fill>
    </dxf>
    <dxf>
      <fill>
        <patternFill>
          <bgColor indexed="14"/>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b/>
        <i val="0"/>
      </font>
      <fill>
        <patternFill>
          <bgColor rgb="FFC0C0C0"/>
        </patternFill>
      </fill>
    </dxf>
    <dxf>
      <font>
        <b/>
        <i val="0"/>
      </font>
      <fill>
        <patternFill>
          <bgColor rgb="FFC0C0C0"/>
        </patternFill>
      </fill>
    </dxf>
    <dxf>
      <font>
        <b/>
        <i val="0"/>
      </font>
      <fill>
        <patternFill>
          <bgColor rgb="FFC0C0C0"/>
        </patternFill>
      </fill>
    </dxf>
    <dxf>
      <font>
        <b/>
        <i val="0"/>
      </font>
      <fill>
        <patternFill>
          <bgColor rgb="FFC0C0C0"/>
        </patternFill>
      </fill>
    </dxf>
    <dxf>
      <font>
        <b/>
        <i val="0"/>
      </font>
      <fill>
        <patternFill>
          <bgColor rgb="FFC0C0C0"/>
        </patternFill>
      </fill>
    </dxf>
    <dxf>
      <font>
        <b/>
        <i val="0"/>
      </font>
      <fill>
        <patternFill>
          <bgColor rgb="FFC0C0C0"/>
        </patternFill>
      </fill>
    </dxf>
    <dxf>
      <font>
        <b/>
        <i val="0"/>
      </font>
      <fill>
        <patternFill>
          <bgColor rgb="FFC0C0C0"/>
        </patternFill>
      </fill>
    </dxf>
    <dxf>
      <fill>
        <patternFill>
          <bgColor indexed="40"/>
        </patternFill>
      </fill>
    </dxf>
    <dxf>
      <fill>
        <patternFill>
          <bgColor indexed="9"/>
        </patternFill>
      </fill>
    </dxf>
    <dxf>
      <fill>
        <patternFill>
          <bgColor indexed="40"/>
        </patternFill>
      </fill>
    </dxf>
    <dxf>
      <fill>
        <patternFill patternType="solid">
          <bgColor indexed="9"/>
        </patternFill>
      </fill>
      <border>
        <left/>
        <right/>
        <top/>
        <bottom/>
      </border>
    </dxf>
    <dxf>
      <fill>
        <patternFill>
          <bgColor indexed="40"/>
        </patternFill>
      </fill>
    </dxf>
    <dxf>
      <fill>
        <patternFill>
          <bgColor indexed="9"/>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ill>
        <patternFill>
          <bgColor indexed="22"/>
        </patternFill>
      </fill>
    </dxf>
    <dxf>
      <fill>
        <patternFill>
          <bgColor indexed="22"/>
        </patternFill>
      </fill>
    </dxf>
  </dxfs>
  <tableStyles count="0" defaultTableStyle="TableStyleMedium2" defaultPivotStyle="PivotStyleLight16"/>
  <colors>
    <mruColors>
      <color rgb="FF00CCFF"/>
      <color rgb="FFC0C0C0"/>
      <color rgb="FFFFFFFF"/>
      <color rgb="FF66CCFF"/>
      <color rgb="FF0099FF"/>
      <color rgb="FF00FF00"/>
      <color rgb="FF969696"/>
      <color rgb="FF33CCFF"/>
      <color rgb="FFCCCCFF"/>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xdr:col>
      <xdr:colOff>4010025</xdr:colOff>
      <xdr:row>2</xdr:row>
      <xdr:rowOff>514350</xdr:rowOff>
    </xdr:from>
    <xdr:to>
      <xdr:col>2</xdr:col>
      <xdr:colOff>7820025</xdr:colOff>
      <xdr:row>2</xdr:row>
      <xdr:rowOff>1714500</xdr:rowOff>
    </xdr:to>
    <xdr:sp macro="" textlink="">
      <xdr:nvSpPr>
        <xdr:cNvPr id="17412" name="Text Box 4">
          <a:extLst>
            <a:ext uri="{FF2B5EF4-FFF2-40B4-BE49-F238E27FC236}">
              <a16:creationId xmlns:a16="http://schemas.microsoft.com/office/drawing/2014/main" id="{00000000-0008-0000-0800-000004440000}"/>
            </a:ext>
          </a:extLst>
        </xdr:cNvPr>
        <xdr:cNvSpPr txBox="1">
          <a:spLocks noChangeArrowheads="1"/>
        </xdr:cNvSpPr>
      </xdr:nvSpPr>
      <xdr:spPr bwMode="auto">
        <a:xfrm>
          <a:off x="5572125" y="1419225"/>
          <a:ext cx="3810000" cy="12001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41148" rIns="54864" bIns="0" anchor="t" upright="1"/>
        <a:lstStyle/>
        <a:p>
          <a:pPr algn="ctr" rtl="0">
            <a:defRPr sz="1000"/>
          </a:pPr>
          <a:r>
            <a:rPr lang="en-GB" sz="4500" b="1" i="0" u="none" strike="noStrike" baseline="0">
              <a:solidFill>
                <a:srgbClr val="000000"/>
              </a:solidFill>
              <a:latin typeface="Arial"/>
              <a:cs typeface="Arial"/>
            </a:rPr>
            <a:t>BASIC</a:t>
          </a:r>
          <a:endParaRPr lang="en-GB" sz="3600" b="1" i="0" u="none" strike="noStrike" baseline="0">
            <a:solidFill>
              <a:srgbClr val="000000"/>
            </a:solidFill>
            <a:latin typeface="Arial"/>
            <a:cs typeface="Arial"/>
          </a:endParaRPr>
        </a:p>
        <a:p>
          <a:pPr algn="ctr" rtl="0">
            <a:defRPr sz="1000"/>
          </a:pPr>
          <a:r>
            <a:rPr lang="en-GB" sz="2800" b="1" i="0" u="none" strike="noStrike" baseline="0">
              <a:solidFill>
                <a:srgbClr val="000000"/>
              </a:solidFill>
              <a:latin typeface="Arial"/>
              <a:cs typeface="Arial"/>
            </a:rPr>
            <a:t>Ship - Oil</a:t>
          </a:r>
        </a:p>
      </xdr:txBody>
    </xdr:sp>
    <xdr:clientData/>
  </xdr:twoCellAnchor>
  <xdr:twoCellAnchor>
    <xdr:from>
      <xdr:col>2</xdr:col>
      <xdr:colOff>76200</xdr:colOff>
      <xdr:row>2</xdr:row>
      <xdr:rowOff>114300</xdr:rowOff>
    </xdr:from>
    <xdr:to>
      <xdr:col>2</xdr:col>
      <xdr:colOff>2581275</xdr:colOff>
      <xdr:row>2</xdr:row>
      <xdr:rowOff>1981200</xdr:rowOff>
    </xdr:to>
    <xdr:pic>
      <xdr:nvPicPr>
        <xdr:cNvPr id="17775" name="Picture 12" descr="GA_logo">
          <a:extLst>
            <a:ext uri="{FF2B5EF4-FFF2-40B4-BE49-F238E27FC236}">
              <a16:creationId xmlns:a16="http://schemas.microsoft.com/office/drawing/2014/main" id="{00000000-0008-0000-0800-00006F45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8300" y="1019175"/>
          <a:ext cx="250507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4448175</xdr:colOff>
      <xdr:row>2</xdr:row>
      <xdr:rowOff>409575</xdr:rowOff>
    </xdr:from>
    <xdr:to>
      <xdr:col>2</xdr:col>
      <xdr:colOff>8343900</xdr:colOff>
      <xdr:row>2</xdr:row>
      <xdr:rowOff>1657350</xdr:rowOff>
    </xdr:to>
    <xdr:sp macro="" textlink="">
      <xdr:nvSpPr>
        <xdr:cNvPr id="5190" name="Text Box 70">
          <a:extLst>
            <a:ext uri="{FF2B5EF4-FFF2-40B4-BE49-F238E27FC236}">
              <a16:creationId xmlns:a16="http://schemas.microsoft.com/office/drawing/2014/main" id="{00000000-0008-0000-0A00-000046140000}"/>
            </a:ext>
          </a:extLst>
        </xdr:cNvPr>
        <xdr:cNvSpPr txBox="1">
          <a:spLocks noChangeArrowheads="1"/>
        </xdr:cNvSpPr>
      </xdr:nvSpPr>
      <xdr:spPr bwMode="auto">
        <a:xfrm>
          <a:off x="6000750" y="1304925"/>
          <a:ext cx="3895725" cy="12477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41148" rIns="54864" bIns="0" anchor="t" upright="1"/>
        <a:lstStyle/>
        <a:p>
          <a:pPr algn="ctr" rtl="0">
            <a:defRPr sz="1000"/>
          </a:pPr>
          <a:r>
            <a:rPr lang="en-GB" sz="4500" b="1" i="0" u="none" strike="noStrike" baseline="0">
              <a:solidFill>
                <a:srgbClr val="000000"/>
              </a:solidFill>
              <a:latin typeface="Arial"/>
              <a:cs typeface="Arial"/>
            </a:rPr>
            <a:t>RANKING</a:t>
          </a:r>
          <a:endParaRPr lang="en-GB" sz="3600" b="1" i="0" u="none" strike="noStrike" baseline="0">
            <a:solidFill>
              <a:srgbClr val="000000"/>
            </a:solidFill>
            <a:latin typeface="Arial"/>
            <a:cs typeface="Arial"/>
          </a:endParaRPr>
        </a:p>
        <a:p>
          <a:pPr algn="ctr" rtl="0">
            <a:defRPr sz="1000"/>
          </a:pPr>
          <a:r>
            <a:rPr lang="en-GB" sz="2800" b="1" i="0" u="none" strike="noStrike" baseline="0">
              <a:solidFill>
                <a:srgbClr val="000000"/>
              </a:solidFill>
              <a:latin typeface="Arial"/>
              <a:cs typeface="Arial"/>
            </a:rPr>
            <a:t>Ship - Oil</a:t>
          </a:r>
        </a:p>
      </xdr:txBody>
    </xdr:sp>
    <xdr:clientData/>
  </xdr:twoCellAnchor>
  <xdr:twoCellAnchor>
    <xdr:from>
      <xdr:col>2</xdr:col>
      <xdr:colOff>47625</xdr:colOff>
      <xdr:row>2</xdr:row>
      <xdr:rowOff>95250</xdr:rowOff>
    </xdr:from>
    <xdr:to>
      <xdr:col>2</xdr:col>
      <xdr:colOff>2514600</xdr:colOff>
      <xdr:row>2</xdr:row>
      <xdr:rowOff>1952625</xdr:rowOff>
    </xdr:to>
    <xdr:pic>
      <xdr:nvPicPr>
        <xdr:cNvPr id="5573" name="Picture 71" descr="GA_logo">
          <a:extLst>
            <a:ext uri="{FF2B5EF4-FFF2-40B4-BE49-F238E27FC236}">
              <a16:creationId xmlns:a16="http://schemas.microsoft.com/office/drawing/2014/main" id="{00000000-0008-0000-0A00-0000C515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0" y="990600"/>
          <a:ext cx="2466975" cy="185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76200</xdr:colOff>
      <xdr:row>2</xdr:row>
      <xdr:rowOff>114300</xdr:rowOff>
    </xdr:from>
    <xdr:to>
      <xdr:col>2</xdr:col>
      <xdr:colOff>2543175</xdr:colOff>
      <xdr:row>2</xdr:row>
      <xdr:rowOff>1971675</xdr:rowOff>
    </xdr:to>
    <xdr:pic>
      <xdr:nvPicPr>
        <xdr:cNvPr id="32951" name="Picture 5" descr="GA_logo">
          <a:extLst>
            <a:ext uri="{FF2B5EF4-FFF2-40B4-BE49-F238E27FC236}">
              <a16:creationId xmlns:a16="http://schemas.microsoft.com/office/drawing/2014/main" id="{00000000-0008-0000-0B00-0000B78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8775" y="1009650"/>
          <a:ext cx="2466975" cy="185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50800</xdr:colOff>
      <xdr:row>0</xdr:row>
      <xdr:rowOff>0</xdr:rowOff>
    </xdr:from>
    <xdr:to>
      <xdr:col>24</xdr:col>
      <xdr:colOff>95624</xdr:colOff>
      <xdr:row>15</xdr:row>
      <xdr:rowOff>108337</xdr:rowOff>
    </xdr:to>
    <xdr:pic>
      <xdr:nvPicPr>
        <xdr:cNvPr id="2" name="Picture 1">
          <a:extLst>
            <a:ext uri="{FF2B5EF4-FFF2-40B4-BE49-F238E27FC236}">
              <a16:creationId xmlns:a16="http://schemas.microsoft.com/office/drawing/2014/main" id="{2EDCDE1B-B147-431C-A62B-F98D44A0D7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9225" y="0"/>
          <a:ext cx="6759949" cy="36516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38100</xdr:colOff>
      <xdr:row>1</xdr:row>
      <xdr:rowOff>85725</xdr:rowOff>
    </xdr:from>
    <xdr:to>
      <xdr:col>2</xdr:col>
      <xdr:colOff>1133475</xdr:colOff>
      <xdr:row>1</xdr:row>
      <xdr:rowOff>895350</xdr:rowOff>
    </xdr:to>
    <xdr:pic>
      <xdr:nvPicPr>
        <xdr:cNvPr id="35115" name="Picture 11" descr="GA_logo">
          <a:extLst>
            <a:ext uri="{FF2B5EF4-FFF2-40B4-BE49-F238E27FC236}">
              <a16:creationId xmlns:a16="http://schemas.microsoft.com/office/drawing/2014/main" id="{00000000-0008-0000-0D00-00002B8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323850"/>
          <a:ext cx="10953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xdr:colOff>
      <xdr:row>39</xdr:row>
      <xdr:rowOff>47625</xdr:rowOff>
    </xdr:from>
    <xdr:to>
      <xdr:col>2</xdr:col>
      <xdr:colOff>1152525</xdr:colOff>
      <xdr:row>39</xdr:row>
      <xdr:rowOff>819150</xdr:rowOff>
    </xdr:to>
    <xdr:pic>
      <xdr:nvPicPr>
        <xdr:cNvPr id="35116" name="Picture 19" descr="GA_logo">
          <a:extLst>
            <a:ext uri="{FF2B5EF4-FFF2-40B4-BE49-F238E27FC236}">
              <a16:creationId xmlns:a16="http://schemas.microsoft.com/office/drawing/2014/main" id="{00000000-0008-0000-0D00-00002C8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9625" y="7658100"/>
          <a:ext cx="109537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xdr:colOff>
      <xdr:row>80</xdr:row>
      <xdr:rowOff>47625</xdr:rowOff>
    </xdr:from>
    <xdr:to>
      <xdr:col>2</xdr:col>
      <xdr:colOff>1152525</xdr:colOff>
      <xdr:row>80</xdr:row>
      <xdr:rowOff>857250</xdr:rowOff>
    </xdr:to>
    <xdr:pic>
      <xdr:nvPicPr>
        <xdr:cNvPr id="35117" name="Picture 20" descr="GA_logo">
          <a:extLst>
            <a:ext uri="{FF2B5EF4-FFF2-40B4-BE49-F238E27FC236}">
              <a16:creationId xmlns:a16="http://schemas.microsoft.com/office/drawing/2014/main" id="{00000000-0008-0000-0D00-00002D8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15420975"/>
          <a:ext cx="10953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xdr:colOff>
      <xdr:row>117</xdr:row>
      <xdr:rowOff>57150</xdr:rowOff>
    </xdr:from>
    <xdr:to>
      <xdr:col>2</xdr:col>
      <xdr:colOff>1152525</xdr:colOff>
      <xdr:row>117</xdr:row>
      <xdr:rowOff>866775</xdr:rowOff>
    </xdr:to>
    <xdr:pic>
      <xdr:nvPicPr>
        <xdr:cNvPr id="35118" name="Picture 22" descr="GA_logo">
          <a:extLst>
            <a:ext uri="{FF2B5EF4-FFF2-40B4-BE49-F238E27FC236}">
              <a16:creationId xmlns:a16="http://schemas.microsoft.com/office/drawing/2014/main" id="{00000000-0008-0000-0D00-00002E8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23126700"/>
          <a:ext cx="10953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47625</xdr:colOff>
      <xdr:row>155</xdr:row>
      <xdr:rowOff>47625</xdr:rowOff>
    </xdr:from>
    <xdr:to>
      <xdr:col>2</xdr:col>
      <xdr:colOff>1143000</xdr:colOff>
      <xdr:row>155</xdr:row>
      <xdr:rowOff>790575</xdr:rowOff>
    </xdr:to>
    <xdr:pic>
      <xdr:nvPicPr>
        <xdr:cNvPr id="35119" name="Picture 23" descr="GA_logo">
          <a:extLst>
            <a:ext uri="{FF2B5EF4-FFF2-40B4-BE49-F238E27FC236}">
              <a16:creationId xmlns:a16="http://schemas.microsoft.com/office/drawing/2014/main" id="{00000000-0008-0000-0D00-00002F89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0100" y="30603825"/>
          <a:ext cx="10953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xdr:colOff>
      <xdr:row>195</xdr:row>
      <xdr:rowOff>57150</xdr:rowOff>
    </xdr:from>
    <xdr:to>
      <xdr:col>2</xdr:col>
      <xdr:colOff>1152525</xdr:colOff>
      <xdr:row>195</xdr:row>
      <xdr:rowOff>866775</xdr:rowOff>
    </xdr:to>
    <xdr:pic>
      <xdr:nvPicPr>
        <xdr:cNvPr id="35120" name="Picture 24" descr="GA_logo">
          <a:extLst>
            <a:ext uri="{FF2B5EF4-FFF2-40B4-BE49-F238E27FC236}">
              <a16:creationId xmlns:a16="http://schemas.microsoft.com/office/drawing/2014/main" id="{00000000-0008-0000-0D00-0000308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38261925"/>
          <a:ext cx="10953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xdr:colOff>
      <xdr:row>230</xdr:row>
      <xdr:rowOff>57150</xdr:rowOff>
    </xdr:from>
    <xdr:to>
      <xdr:col>2</xdr:col>
      <xdr:colOff>1152525</xdr:colOff>
      <xdr:row>230</xdr:row>
      <xdr:rowOff>866775</xdr:rowOff>
    </xdr:to>
    <xdr:pic>
      <xdr:nvPicPr>
        <xdr:cNvPr id="35121" name="Picture 25" descr="GA_logo">
          <a:extLst>
            <a:ext uri="{FF2B5EF4-FFF2-40B4-BE49-F238E27FC236}">
              <a16:creationId xmlns:a16="http://schemas.microsoft.com/office/drawing/2014/main" id="{00000000-0008-0000-0D00-0000318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45558075"/>
          <a:ext cx="10953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28575</xdr:colOff>
      <xdr:row>261</xdr:row>
      <xdr:rowOff>28575</xdr:rowOff>
    </xdr:from>
    <xdr:to>
      <xdr:col>2</xdr:col>
      <xdr:colOff>1123950</xdr:colOff>
      <xdr:row>261</xdr:row>
      <xdr:rowOff>838200</xdr:rowOff>
    </xdr:to>
    <xdr:pic>
      <xdr:nvPicPr>
        <xdr:cNvPr id="35122" name="Picture 26" descr="GA_logo">
          <a:extLst>
            <a:ext uri="{FF2B5EF4-FFF2-40B4-BE49-F238E27FC236}">
              <a16:creationId xmlns:a16="http://schemas.microsoft.com/office/drawing/2014/main" id="{00000000-0008-0000-0D00-0000328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51939825"/>
          <a:ext cx="10953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hyperlink" Target="http://glomeep.imo.org/technology/hull-cleaning/" TargetMode="External"/><Relationship Id="rId18" Type="http://schemas.openxmlformats.org/officeDocument/2006/relationships/hyperlink" Target="http://glomeep.imo.org/technology/propeller-retrofitting/" TargetMode="External"/><Relationship Id="rId26" Type="http://schemas.openxmlformats.org/officeDocument/2006/relationships/hyperlink" Target="http://glomeep.imo.org/technology/solar-panels/" TargetMode="External"/><Relationship Id="rId3" Type="http://schemas.openxmlformats.org/officeDocument/2006/relationships/hyperlink" Target="http://glomeep.imo.org/technology/engine-performance-optimization-automatic/" TargetMode="External"/><Relationship Id="rId21" Type="http://schemas.openxmlformats.org/officeDocument/2006/relationships/hyperlink" Target="http://glomeep.imo.org/technology/energy-efficient-lighting-system/" TargetMode="External"/><Relationship Id="rId34" Type="http://schemas.openxmlformats.org/officeDocument/2006/relationships/hyperlink" Target="http://glomeep.imo.org/resources/energy-efficiency-techologies-information-portal/" TargetMode="External"/><Relationship Id="rId7" Type="http://schemas.openxmlformats.org/officeDocument/2006/relationships/hyperlink" Target="http://glomeep.imo.org/technology/improved-auxiliary-engine-load/" TargetMode="External"/><Relationship Id="rId12" Type="http://schemas.openxmlformats.org/officeDocument/2006/relationships/hyperlink" Target="http://glomeep.imo.org/technology/air-cavity-lubrication/" TargetMode="External"/><Relationship Id="rId17" Type="http://schemas.openxmlformats.org/officeDocument/2006/relationships/hyperlink" Target="http://glomeep.imo.org/technology/propeller-polishing/" TargetMode="External"/><Relationship Id="rId25" Type="http://schemas.openxmlformats.org/officeDocument/2006/relationships/hyperlink" Target="http://glomeep.imo.org/technology/kite/" TargetMode="External"/><Relationship Id="rId33" Type="http://schemas.openxmlformats.org/officeDocument/2006/relationships/hyperlink" Target="http://glomeep.imo.org/legal-disclaimer-for-eet-ip/" TargetMode="External"/><Relationship Id="rId2" Type="http://schemas.openxmlformats.org/officeDocument/2006/relationships/hyperlink" Target="http://glomeep.imo.org/technology/engine-de-rating/" TargetMode="External"/><Relationship Id="rId16" Type="http://schemas.openxmlformats.org/officeDocument/2006/relationships/hyperlink" Target="http://glomeep.imo.org/technology/hull-retrofitting/" TargetMode="External"/><Relationship Id="rId20" Type="http://schemas.openxmlformats.org/officeDocument/2006/relationships/hyperlink" Target="http://glomeep.imo.org/technology/cargo-handling-systems-cargo-discharge-operation/" TargetMode="External"/><Relationship Id="rId29" Type="http://schemas.openxmlformats.org/officeDocument/2006/relationships/hyperlink" Target="http://glomeep.imo.org/technology/efficient-dp-operation/" TargetMode="External"/><Relationship Id="rId1" Type="http://schemas.openxmlformats.org/officeDocument/2006/relationships/hyperlink" Target="http://glomeep.imo.org/technology/auxiliary-systems-optimization/" TargetMode="External"/><Relationship Id="rId6" Type="http://schemas.openxmlformats.org/officeDocument/2006/relationships/hyperlink" Target="http://glomeep.imo.org/technology/hybridization-plug-in-or-conventional/" TargetMode="External"/><Relationship Id="rId11" Type="http://schemas.openxmlformats.org/officeDocument/2006/relationships/hyperlink" Target="http://glomeep.imo.org/technology/waste-heat-recovery-systems/" TargetMode="External"/><Relationship Id="rId24" Type="http://schemas.openxmlformats.org/officeDocument/2006/relationships/hyperlink" Target="http://glomeep.imo.org/technology/flettner-rotors/" TargetMode="External"/><Relationship Id="rId32" Type="http://schemas.openxmlformats.org/officeDocument/2006/relationships/hyperlink" Target="http://glomeep.imo.org/technology/weather-routing/" TargetMode="External"/><Relationship Id="rId5" Type="http://schemas.openxmlformats.org/officeDocument/2006/relationships/hyperlink" Target="http://glomeep.imo.org/technology/exhaust-gas-boilers-on-auxiliary-engines/" TargetMode="External"/><Relationship Id="rId15" Type="http://schemas.openxmlformats.org/officeDocument/2006/relationships/hyperlink" Target="http://glomeep.imo.org/technology/hull-form-optimization/" TargetMode="External"/><Relationship Id="rId23" Type="http://schemas.openxmlformats.org/officeDocument/2006/relationships/hyperlink" Target="http://glomeep.imo.org/technology/fixed-sails-or-wings/" TargetMode="External"/><Relationship Id="rId28" Type="http://schemas.openxmlformats.org/officeDocument/2006/relationships/hyperlink" Target="http://glomeep.imo.org/technology/combinator-optimizing/" TargetMode="External"/><Relationship Id="rId10" Type="http://schemas.openxmlformats.org/officeDocument/2006/relationships/hyperlink" Target="http://glomeep.imo.org/technology/steam-plant-operation-improvement/" TargetMode="External"/><Relationship Id="rId19" Type="http://schemas.openxmlformats.org/officeDocument/2006/relationships/hyperlink" Target="http://glomeep.imo.org/technology/propulsion-improving-devices-pids/" TargetMode="External"/><Relationship Id="rId31" Type="http://schemas.openxmlformats.org/officeDocument/2006/relationships/hyperlink" Target="http://glomeep.imo.org/technology/trim-and-draft-optimization/" TargetMode="External"/><Relationship Id="rId4" Type="http://schemas.openxmlformats.org/officeDocument/2006/relationships/hyperlink" Target="http://glomeep.imo.org/technology/engine-performance-optimization-manual/" TargetMode="External"/><Relationship Id="rId9" Type="http://schemas.openxmlformats.org/officeDocument/2006/relationships/hyperlink" Target="http://glomeep.imo.org/technology/shore-power/" TargetMode="External"/><Relationship Id="rId14" Type="http://schemas.openxmlformats.org/officeDocument/2006/relationships/hyperlink" Target="http://glomeep.imo.org/technology/hull-coating/" TargetMode="External"/><Relationship Id="rId22" Type="http://schemas.openxmlformats.org/officeDocument/2006/relationships/hyperlink" Target="http://glomeep.imo.org/technology/frequency-controlled-electric-motors/" TargetMode="External"/><Relationship Id="rId27" Type="http://schemas.openxmlformats.org/officeDocument/2006/relationships/hyperlink" Target="http://glomeep.imo.org/technology/autopilot-adjustment-and-use/" TargetMode="External"/><Relationship Id="rId30" Type="http://schemas.openxmlformats.org/officeDocument/2006/relationships/hyperlink" Target="http://glomeep.imo.org/technology/speed-management/" TargetMode="External"/><Relationship Id="rId35" Type="http://schemas.openxmlformats.org/officeDocument/2006/relationships/printerSettings" Target="../printerSettings/printerSettings5.bin"/><Relationship Id="rId8" Type="http://schemas.openxmlformats.org/officeDocument/2006/relationships/hyperlink" Target="http://glomeep.imo.org/technology/shaft-generator/"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Z106"/>
  <sheetViews>
    <sheetView tabSelected="1" zoomScale="50" zoomScaleNormal="50" zoomScaleSheetLayoutView="50" workbookViewId="0">
      <pane ySplit="3" topLeftCell="A4" activePane="bottomLeft" state="frozen"/>
      <selection activeCell="A4" sqref="A4"/>
      <selection pane="bottomLeft" activeCell="V1" sqref="V1"/>
    </sheetView>
  </sheetViews>
  <sheetFormatPr defaultColWidth="9.140625" defaultRowHeight="12.75" x14ac:dyDescent="0.2"/>
  <cols>
    <col min="1" max="1" width="9.7109375" customWidth="1"/>
    <col min="2" max="2" width="13.7109375" style="101" customWidth="1"/>
    <col min="3" max="3" width="140.140625" style="4" customWidth="1"/>
    <col min="4" max="6" width="6.140625" customWidth="1"/>
    <col min="7" max="7" width="5.7109375" customWidth="1"/>
    <col min="8" max="17" width="6.140625" customWidth="1"/>
    <col min="18" max="19" width="6" customWidth="1"/>
    <col min="20" max="20" width="5.28515625" customWidth="1"/>
    <col min="21" max="21" width="2.42578125" style="62" hidden="1" customWidth="1"/>
    <col min="22" max="22" width="7.28515625" style="62" customWidth="1"/>
    <col min="23" max="182" width="9.140625" style="62"/>
  </cols>
  <sheetData>
    <row r="1" spans="1:182" ht="40.15" customHeight="1" thickBot="1" x14ac:dyDescent="0.3">
      <c r="A1" s="651" t="s">
        <v>155</v>
      </c>
      <c r="B1" s="387"/>
      <c r="C1" s="652" t="s">
        <v>1040</v>
      </c>
      <c r="D1" s="389"/>
      <c r="E1" s="398"/>
      <c r="F1" s="398"/>
      <c r="G1" s="398"/>
      <c r="H1" s="398"/>
      <c r="I1" s="398"/>
      <c r="J1" s="398"/>
      <c r="K1" s="398"/>
      <c r="L1" s="398"/>
      <c r="M1" s="398"/>
      <c r="N1" s="398"/>
      <c r="O1" s="398"/>
      <c r="P1" s="398"/>
      <c r="Q1" s="398"/>
      <c r="R1" s="398"/>
      <c r="S1" s="398"/>
      <c r="T1" s="653" t="s">
        <v>1041</v>
      </c>
    </row>
    <row r="2" spans="1:182" s="4" customFormat="1" ht="31.7" customHeight="1" thickBot="1" x14ac:dyDescent="0.25">
      <c r="A2" s="736" t="s">
        <v>1802</v>
      </c>
      <c r="B2" s="737"/>
      <c r="C2" s="737"/>
      <c r="D2" s="737"/>
      <c r="E2" s="737"/>
      <c r="F2" s="737"/>
      <c r="G2" s="737"/>
      <c r="H2" s="737"/>
      <c r="I2" s="737"/>
      <c r="J2" s="737"/>
      <c r="K2" s="737"/>
      <c r="L2" s="737"/>
      <c r="M2" s="737"/>
      <c r="N2" s="737"/>
      <c r="O2" s="737"/>
      <c r="P2" s="737"/>
      <c r="Q2" s="737"/>
      <c r="R2" s="737"/>
      <c r="S2" s="737"/>
      <c r="T2" s="938"/>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row>
    <row r="3" spans="1:182" ht="161.44999999999999" customHeight="1" thickBot="1" x14ac:dyDescent="0.25">
      <c r="A3" s="83" t="s">
        <v>948</v>
      </c>
      <c r="B3" s="83" t="s">
        <v>295</v>
      </c>
      <c r="C3" s="84" t="s">
        <v>157</v>
      </c>
      <c r="D3" s="10" t="s">
        <v>296</v>
      </c>
      <c r="E3" s="7" t="s">
        <v>158</v>
      </c>
      <c r="F3" s="8" t="s">
        <v>297</v>
      </c>
      <c r="G3" s="9" t="s">
        <v>158</v>
      </c>
      <c r="H3" s="10" t="s">
        <v>298</v>
      </c>
      <c r="I3" s="7" t="s">
        <v>158</v>
      </c>
      <c r="J3" s="6" t="s">
        <v>988</v>
      </c>
      <c r="K3" s="9" t="s">
        <v>158</v>
      </c>
      <c r="L3" s="11" t="s">
        <v>595</v>
      </c>
      <c r="M3" s="7" t="s">
        <v>158</v>
      </c>
      <c r="N3" s="10" t="s">
        <v>509</v>
      </c>
      <c r="O3" s="7" t="s">
        <v>158</v>
      </c>
      <c r="P3" s="10" t="s">
        <v>510</v>
      </c>
      <c r="Q3" s="7" t="s">
        <v>158</v>
      </c>
      <c r="R3" s="6" t="s">
        <v>1135</v>
      </c>
      <c r="S3" s="9" t="s">
        <v>158</v>
      </c>
      <c r="T3" s="413" t="s">
        <v>1076</v>
      </c>
    </row>
    <row r="4" spans="1:182" ht="33" customHeight="1" thickBot="1" x14ac:dyDescent="0.35">
      <c r="A4" s="408"/>
      <c r="B4" s="345">
        <v>100</v>
      </c>
      <c r="C4" s="734" t="s">
        <v>873</v>
      </c>
      <c r="D4" s="735"/>
      <c r="E4" s="735"/>
      <c r="F4" s="735"/>
      <c r="G4" s="735"/>
      <c r="H4" s="735"/>
      <c r="I4" s="735"/>
      <c r="J4" s="735"/>
      <c r="K4" s="735"/>
      <c r="L4" s="735"/>
      <c r="M4" s="735"/>
      <c r="N4" s="735"/>
      <c r="O4" s="735"/>
      <c r="P4" s="735"/>
      <c r="Q4" s="735"/>
      <c r="R4" s="735"/>
      <c r="S4" s="735"/>
      <c r="T4" s="913"/>
    </row>
    <row r="5" spans="1:182" ht="30" customHeight="1" thickBot="1" x14ac:dyDescent="0.5">
      <c r="A5" s="433"/>
      <c r="B5" s="322">
        <v>101</v>
      </c>
      <c r="C5" s="118" t="s">
        <v>832</v>
      </c>
      <c r="D5" s="56" t="s">
        <v>661</v>
      </c>
      <c r="E5" s="85"/>
      <c r="F5" s="56"/>
      <c r="G5" s="86"/>
      <c r="H5" s="57"/>
      <c r="I5" s="85"/>
      <c r="J5" s="56"/>
      <c r="K5" s="86"/>
      <c r="L5" s="57"/>
      <c r="M5" s="85"/>
      <c r="N5" s="56"/>
      <c r="O5" s="86"/>
      <c r="P5" s="85"/>
      <c r="Q5" s="86"/>
      <c r="R5" s="87"/>
      <c r="S5" s="88"/>
      <c r="T5" s="434"/>
    </row>
    <row r="6" spans="1:182" ht="27.75" customHeight="1" thickBot="1" x14ac:dyDescent="0.25">
      <c r="A6" s="421"/>
      <c r="B6" s="315" t="s">
        <v>874</v>
      </c>
      <c r="C6" s="529" t="s">
        <v>1007</v>
      </c>
      <c r="D6" s="907"/>
      <c r="E6" s="908"/>
      <c r="F6" s="907"/>
      <c r="G6" s="908"/>
      <c r="H6" s="907"/>
      <c r="I6" s="908"/>
      <c r="J6" s="907"/>
      <c r="K6" s="908"/>
      <c r="L6" s="907"/>
      <c r="M6" s="908"/>
      <c r="N6" s="907"/>
      <c r="O6" s="908"/>
      <c r="P6" s="907"/>
      <c r="Q6" s="908"/>
      <c r="R6" s="907"/>
      <c r="S6" s="924"/>
      <c r="T6" s="408"/>
      <c r="U6" s="62">
        <f>COUNTIF(D6:S6,"a")+COUNTIF(D6:S6,"s")</f>
        <v>0</v>
      </c>
      <c r="V6" s="294"/>
    </row>
    <row r="7" spans="1:182" ht="30" customHeight="1" thickBot="1" x14ac:dyDescent="0.5">
      <c r="A7" s="433"/>
      <c r="B7" s="322">
        <v>102</v>
      </c>
      <c r="C7" s="123" t="s">
        <v>4</v>
      </c>
      <c r="D7" s="56" t="s">
        <v>661</v>
      </c>
      <c r="E7" s="86"/>
      <c r="F7" s="57" t="s">
        <v>661</v>
      </c>
      <c r="G7" s="85"/>
      <c r="H7" s="56" t="s">
        <v>661</v>
      </c>
      <c r="I7" s="86"/>
      <c r="J7" s="57" t="s">
        <v>661</v>
      </c>
      <c r="K7" s="85"/>
      <c r="L7" s="56" t="s">
        <v>661</v>
      </c>
      <c r="M7" s="89"/>
      <c r="N7" s="57" t="s">
        <v>661</v>
      </c>
      <c r="O7" s="89"/>
      <c r="P7" s="90" t="s">
        <v>661</v>
      </c>
      <c r="Q7" s="60"/>
      <c r="R7" s="56" t="s">
        <v>661</v>
      </c>
      <c r="S7" s="90"/>
      <c r="T7" s="434"/>
    </row>
    <row r="8" spans="1:182" ht="45" customHeight="1" thickBot="1" x14ac:dyDescent="0.25">
      <c r="A8" s="421"/>
      <c r="B8" s="315" t="s">
        <v>875</v>
      </c>
      <c r="C8" s="162" t="s">
        <v>989</v>
      </c>
      <c r="D8" s="907"/>
      <c r="E8" s="908"/>
      <c r="F8" s="907"/>
      <c r="G8" s="908"/>
      <c r="H8" s="907"/>
      <c r="I8" s="908"/>
      <c r="J8" s="907"/>
      <c r="K8" s="908"/>
      <c r="L8" s="907"/>
      <c r="M8" s="908"/>
      <c r="N8" s="907"/>
      <c r="O8" s="908"/>
      <c r="P8" s="907"/>
      <c r="Q8" s="908"/>
      <c r="R8" s="907"/>
      <c r="S8" s="924"/>
      <c r="T8" s="408"/>
      <c r="U8" s="62">
        <f>COUNTIF(D8:S8,"a")+COUNTIF(D8:S8,"s")</f>
        <v>0</v>
      </c>
      <c r="V8" s="294"/>
    </row>
    <row r="9" spans="1:182" ht="30" customHeight="1" thickBot="1" x14ac:dyDescent="0.5">
      <c r="A9" s="433"/>
      <c r="B9" s="322">
        <v>103</v>
      </c>
      <c r="C9" s="123" t="s">
        <v>193</v>
      </c>
      <c r="D9" s="56" t="s">
        <v>661</v>
      </c>
      <c r="E9" s="86"/>
      <c r="F9" s="57" t="s">
        <v>661</v>
      </c>
      <c r="G9" s="85"/>
      <c r="H9" s="56" t="s">
        <v>661</v>
      </c>
      <c r="I9" s="86"/>
      <c r="J9" s="57" t="s">
        <v>661</v>
      </c>
      <c r="K9" s="85"/>
      <c r="L9" s="56" t="s">
        <v>661</v>
      </c>
      <c r="M9" s="86"/>
      <c r="N9" s="57" t="s">
        <v>661</v>
      </c>
      <c r="O9" s="86"/>
      <c r="P9" s="59" t="s">
        <v>661</v>
      </c>
      <c r="Q9" s="60"/>
      <c r="R9" s="56" t="s">
        <v>661</v>
      </c>
      <c r="S9" s="90"/>
      <c r="T9" s="434"/>
    </row>
    <row r="10" spans="1:182" ht="27.95" customHeight="1" x14ac:dyDescent="0.2">
      <c r="A10" s="433"/>
      <c r="B10" s="310" t="s">
        <v>721</v>
      </c>
      <c r="C10" s="125" t="s">
        <v>1006</v>
      </c>
      <c r="D10" s="928"/>
      <c r="E10" s="930"/>
      <c r="F10" s="928"/>
      <c r="G10" s="930"/>
      <c r="H10" s="928"/>
      <c r="I10" s="930"/>
      <c r="J10" s="928"/>
      <c r="K10" s="930"/>
      <c r="L10" s="928"/>
      <c r="M10" s="930"/>
      <c r="N10" s="928"/>
      <c r="O10" s="930"/>
      <c r="P10" s="928"/>
      <c r="Q10" s="930"/>
      <c r="R10" s="928"/>
      <c r="S10" s="929"/>
      <c r="T10" s="408"/>
      <c r="U10" s="62">
        <f>COUNTIF(D10:S10,"a")+COUNTIF(D10:S10,"s")</f>
        <v>0</v>
      </c>
      <c r="V10" s="294"/>
    </row>
    <row r="11" spans="1:182" ht="45" customHeight="1" thickBot="1" x14ac:dyDescent="0.25">
      <c r="A11" s="433"/>
      <c r="B11" s="325" t="s">
        <v>722</v>
      </c>
      <c r="C11" s="127" t="s">
        <v>596</v>
      </c>
      <c r="D11" s="911"/>
      <c r="E11" s="912"/>
      <c r="F11" s="911"/>
      <c r="G11" s="912"/>
      <c r="H11" s="911"/>
      <c r="I11" s="912"/>
      <c r="J11" s="911"/>
      <c r="K11" s="912"/>
      <c r="L11" s="911"/>
      <c r="M11" s="912"/>
      <c r="N11" s="911"/>
      <c r="O11" s="912"/>
      <c r="P11" s="911"/>
      <c r="Q11" s="912"/>
      <c r="R11" s="911"/>
      <c r="S11" s="914"/>
      <c r="T11" s="408"/>
      <c r="U11" s="62">
        <f>COUNTIF(D11:S11,"a")+COUNTIF(D11:S11,"s")</f>
        <v>0</v>
      </c>
      <c r="V11" s="294"/>
    </row>
    <row r="12" spans="1:182" ht="30" customHeight="1" thickBot="1" x14ac:dyDescent="0.5">
      <c r="A12" s="433"/>
      <c r="B12" s="322">
        <v>104</v>
      </c>
      <c r="C12" s="123" t="s">
        <v>6</v>
      </c>
      <c r="D12" s="56" t="s">
        <v>661</v>
      </c>
      <c r="E12" s="86"/>
      <c r="F12" s="57" t="s">
        <v>661</v>
      </c>
      <c r="G12" s="85"/>
      <c r="H12" s="56" t="s">
        <v>661</v>
      </c>
      <c r="I12" s="60"/>
      <c r="J12" s="57" t="s">
        <v>661</v>
      </c>
      <c r="K12" s="59"/>
      <c r="L12" s="56" t="s">
        <v>661</v>
      </c>
      <c r="M12" s="60"/>
      <c r="N12" s="57" t="s">
        <v>661</v>
      </c>
      <c r="O12" s="60"/>
      <c r="P12" s="59" t="s">
        <v>661</v>
      </c>
      <c r="Q12" s="60"/>
      <c r="R12" s="56" t="s">
        <v>661</v>
      </c>
      <c r="S12" s="90"/>
      <c r="T12" s="434"/>
    </row>
    <row r="13" spans="1:182" ht="27.95" customHeight="1" x14ac:dyDescent="0.2">
      <c r="A13" s="421"/>
      <c r="B13" s="310" t="s">
        <v>577</v>
      </c>
      <c r="C13" s="125" t="s">
        <v>578</v>
      </c>
      <c r="D13" s="928"/>
      <c r="E13" s="930"/>
      <c r="F13" s="928"/>
      <c r="G13" s="930"/>
      <c r="H13" s="928"/>
      <c r="I13" s="930"/>
      <c r="J13" s="928"/>
      <c r="K13" s="930"/>
      <c r="L13" s="928"/>
      <c r="M13" s="930"/>
      <c r="N13" s="928"/>
      <c r="O13" s="930"/>
      <c r="P13" s="928"/>
      <c r="Q13" s="930"/>
      <c r="R13" s="928"/>
      <c r="S13" s="929"/>
      <c r="T13" s="408"/>
      <c r="U13" s="62">
        <f>COUNTIF(D13:S13,"a")+COUNTIF(D13:S13,"s")</f>
        <v>0</v>
      </c>
      <c r="V13" s="294"/>
    </row>
    <row r="14" spans="1:182" ht="45" customHeight="1" thickBot="1" x14ac:dyDescent="0.25">
      <c r="A14" s="421"/>
      <c r="B14" s="325" t="s">
        <v>1036</v>
      </c>
      <c r="C14" s="129" t="s">
        <v>1141</v>
      </c>
      <c r="D14" s="911"/>
      <c r="E14" s="912"/>
      <c r="F14" s="911"/>
      <c r="G14" s="912"/>
      <c r="H14" s="911"/>
      <c r="I14" s="912"/>
      <c r="J14" s="911"/>
      <c r="K14" s="912"/>
      <c r="L14" s="911"/>
      <c r="M14" s="912"/>
      <c r="N14" s="911"/>
      <c r="O14" s="912"/>
      <c r="P14" s="911"/>
      <c r="Q14" s="912"/>
      <c r="R14" s="911"/>
      <c r="S14" s="914"/>
      <c r="T14" s="408"/>
      <c r="U14" s="62">
        <f>COUNTIF(D14:S14,"a")+COUNTIF(D14:S14,"s")</f>
        <v>0</v>
      </c>
      <c r="V14" s="294"/>
    </row>
    <row r="15" spans="1:182" ht="30" customHeight="1" thickBot="1" x14ac:dyDescent="0.5">
      <c r="A15" s="421"/>
      <c r="B15" s="322">
        <v>105</v>
      </c>
      <c r="C15" s="118" t="s">
        <v>1142</v>
      </c>
      <c r="D15" s="56" t="s">
        <v>661</v>
      </c>
      <c r="E15" s="86"/>
      <c r="F15" s="57"/>
      <c r="G15" s="85"/>
      <c r="H15" s="56"/>
      <c r="I15" s="86"/>
      <c r="J15" s="57"/>
      <c r="K15" s="85"/>
      <c r="L15" s="56"/>
      <c r="M15" s="86"/>
      <c r="N15" s="57"/>
      <c r="O15" s="86"/>
      <c r="P15" s="59"/>
      <c r="Q15" s="60"/>
      <c r="R15" s="56"/>
      <c r="S15" s="90"/>
      <c r="T15" s="434"/>
    </row>
    <row r="16" spans="1:182" ht="27.95" customHeight="1" x14ac:dyDescent="0.2">
      <c r="A16" s="421"/>
      <c r="B16" s="310" t="s">
        <v>1037</v>
      </c>
      <c r="C16" s="130" t="s">
        <v>542</v>
      </c>
      <c r="D16" s="928"/>
      <c r="E16" s="930"/>
      <c r="F16" s="928"/>
      <c r="G16" s="930"/>
      <c r="H16" s="928"/>
      <c r="I16" s="930"/>
      <c r="J16" s="928"/>
      <c r="K16" s="930"/>
      <c r="L16" s="928"/>
      <c r="M16" s="930"/>
      <c r="N16" s="928"/>
      <c r="O16" s="930"/>
      <c r="P16" s="928"/>
      <c r="Q16" s="930"/>
      <c r="R16" s="928"/>
      <c r="S16" s="929"/>
      <c r="T16" s="408"/>
      <c r="U16" s="62">
        <f>COUNTIF(D16:S16,"a")+COUNTIF(D16:S16,"s")</f>
        <v>0</v>
      </c>
      <c r="V16" s="294"/>
    </row>
    <row r="17" spans="1:22" ht="27.95" customHeight="1" x14ac:dyDescent="0.2">
      <c r="A17" s="421"/>
      <c r="B17" s="319" t="s">
        <v>543</v>
      </c>
      <c r="C17" s="150" t="s">
        <v>544</v>
      </c>
      <c r="D17" s="909"/>
      <c r="E17" s="910"/>
      <c r="F17" s="909"/>
      <c r="G17" s="910"/>
      <c r="H17" s="909"/>
      <c r="I17" s="910"/>
      <c r="J17" s="909"/>
      <c r="K17" s="910"/>
      <c r="L17" s="909"/>
      <c r="M17" s="910"/>
      <c r="N17" s="909"/>
      <c r="O17" s="910"/>
      <c r="P17" s="909"/>
      <c r="Q17" s="910"/>
      <c r="R17" s="909"/>
      <c r="S17" s="915"/>
      <c r="T17" s="408"/>
      <c r="U17" s="62">
        <f>COUNTIF(D17:S17,"a")+COUNTIF(D17:S17,"s")</f>
        <v>0</v>
      </c>
      <c r="V17" s="294"/>
    </row>
    <row r="18" spans="1:22" ht="27.95" customHeight="1" x14ac:dyDescent="0.2">
      <c r="A18" s="421"/>
      <c r="B18" s="319" t="s">
        <v>1038</v>
      </c>
      <c r="C18" s="150" t="s">
        <v>844</v>
      </c>
      <c r="D18" s="909"/>
      <c r="E18" s="910"/>
      <c r="F18" s="909"/>
      <c r="G18" s="910"/>
      <c r="H18" s="909"/>
      <c r="I18" s="910"/>
      <c r="J18" s="909"/>
      <c r="K18" s="910"/>
      <c r="L18" s="909"/>
      <c r="M18" s="910"/>
      <c r="N18" s="909"/>
      <c r="O18" s="910"/>
      <c r="P18" s="909"/>
      <c r="Q18" s="910"/>
      <c r="R18" s="909"/>
      <c r="S18" s="915"/>
      <c r="T18" s="408"/>
      <c r="U18" s="62">
        <f>COUNTIF(D18:S18,"a")+COUNTIF(D18:S18,"s")</f>
        <v>0</v>
      </c>
      <c r="V18" s="294"/>
    </row>
    <row r="19" spans="1:22" ht="27.95" customHeight="1" x14ac:dyDescent="0.2">
      <c r="A19" s="421"/>
      <c r="B19" s="319" t="s">
        <v>845</v>
      </c>
      <c r="C19" s="150" t="s">
        <v>1084</v>
      </c>
      <c r="D19" s="909"/>
      <c r="E19" s="910"/>
      <c r="F19" s="909"/>
      <c r="G19" s="910"/>
      <c r="H19" s="909"/>
      <c r="I19" s="910"/>
      <c r="J19" s="909"/>
      <c r="K19" s="910"/>
      <c r="L19" s="909"/>
      <c r="M19" s="910"/>
      <c r="N19" s="909"/>
      <c r="O19" s="910"/>
      <c r="P19" s="909"/>
      <c r="Q19" s="910"/>
      <c r="R19" s="909"/>
      <c r="S19" s="915"/>
      <c r="T19" s="408"/>
      <c r="U19" s="62">
        <f>COUNTIF(D19:S19,"a")+COUNTIF(D19:S19,"s")</f>
        <v>0</v>
      </c>
      <c r="V19" s="294"/>
    </row>
    <row r="20" spans="1:22" ht="27.95" customHeight="1" thickBot="1" x14ac:dyDescent="0.25">
      <c r="A20" s="421"/>
      <c r="B20" s="325" t="s">
        <v>1085</v>
      </c>
      <c r="C20" s="151" t="s">
        <v>1143</v>
      </c>
      <c r="D20" s="911"/>
      <c r="E20" s="912"/>
      <c r="F20" s="911"/>
      <c r="G20" s="912"/>
      <c r="H20" s="911"/>
      <c r="I20" s="912"/>
      <c r="J20" s="911"/>
      <c r="K20" s="912"/>
      <c r="L20" s="911"/>
      <c r="M20" s="912"/>
      <c r="N20" s="911"/>
      <c r="O20" s="912"/>
      <c r="P20" s="911"/>
      <c r="Q20" s="912"/>
      <c r="R20" s="911"/>
      <c r="S20" s="914"/>
      <c r="T20" s="408"/>
      <c r="U20" s="62">
        <f>COUNTIF(D20:S20,"a")+COUNTIF(D20:S20,"s")</f>
        <v>0</v>
      </c>
      <c r="V20" s="294"/>
    </row>
    <row r="21" spans="1:22" ht="30" customHeight="1" thickBot="1" x14ac:dyDescent="0.5">
      <c r="A21" s="421"/>
      <c r="B21" s="322">
        <v>106</v>
      </c>
      <c r="C21" s="132" t="s">
        <v>191</v>
      </c>
      <c r="D21" s="56" t="s">
        <v>661</v>
      </c>
      <c r="E21" s="86"/>
      <c r="F21" s="91"/>
      <c r="G21" s="92"/>
      <c r="H21" s="87"/>
      <c r="I21" s="86"/>
      <c r="J21" s="92"/>
      <c r="K21" s="92"/>
      <c r="L21" s="56" t="s">
        <v>661</v>
      </c>
      <c r="M21" s="86"/>
      <c r="N21" s="92"/>
      <c r="O21" s="86"/>
      <c r="P21" s="59"/>
      <c r="Q21" s="60"/>
      <c r="R21" s="56"/>
      <c r="S21" s="90"/>
      <c r="T21" s="434"/>
    </row>
    <row r="22" spans="1:22" ht="45" customHeight="1" x14ac:dyDescent="0.2">
      <c r="A22" s="421"/>
      <c r="B22" s="310" t="s">
        <v>920</v>
      </c>
      <c r="C22" s="152" t="s">
        <v>381</v>
      </c>
      <c r="D22" s="928"/>
      <c r="E22" s="930"/>
      <c r="F22" s="928"/>
      <c r="G22" s="930"/>
      <c r="H22" s="928"/>
      <c r="I22" s="930"/>
      <c r="J22" s="928"/>
      <c r="K22" s="930"/>
      <c r="L22" s="928"/>
      <c r="M22" s="930"/>
      <c r="N22" s="928"/>
      <c r="O22" s="930"/>
      <c r="P22" s="928"/>
      <c r="Q22" s="930"/>
      <c r="R22" s="928"/>
      <c r="S22" s="929"/>
      <c r="T22" s="408"/>
      <c r="U22" s="62">
        <f t="shared" ref="U22:U31" si="0">COUNTIF(D22:S22,"a")+COUNTIF(D22:S22,"s")</f>
        <v>0</v>
      </c>
      <c r="V22" s="294"/>
    </row>
    <row r="23" spans="1:22" ht="27.95" customHeight="1" x14ac:dyDescent="0.2">
      <c r="A23" s="421"/>
      <c r="B23" s="319" t="s">
        <v>921</v>
      </c>
      <c r="C23" s="153" t="s">
        <v>1056</v>
      </c>
      <c r="D23" s="909"/>
      <c r="E23" s="910"/>
      <c r="F23" s="909"/>
      <c r="G23" s="910"/>
      <c r="H23" s="909"/>
      <c r="I23" s="910"/>
      <c r="J23" s="909"/>
      <c r="K23" s="910"/>
      <c r="L23" s="909"/>
      <c r="M23" s="910"/>
      <c r="N23" s="909"/>
      <c r="O23" s="910"/>
      <c r="P23" s="909"/>
      <c r="Q23" s="910"/>
      <c r="R23" s="909"/>
      <c r="S23" s="915"/>
      <c r="T23" s="408"/>
      <c r="U23" s="62">
        <f t="shared" si="0"/>
        <v>0</v>
      </c>
      <c r="V23" s="294"/>
    </row>
    <row r="24" spans="1:22" ht="27.95" customHeight="1" x14ac:dyDescent="0.2">
      <c r="A24" s="421"/>
      <c r="B24" s="319" t="s">
        <v>304</v>
      </c>
      <c r="C24" s="137" t="s">
        <v>83</v>
      </c>
      <c r="D24" s="909"/>
      <c r="E24" s="910"/>
      <c r="F24" s="909"/>
      <c r="G24" s="910"/>
      <c r="H24" s="909"/>
      <c r="I24" s="910"/>
      <c r="J24" s="909"/>
      <c r="K24" s="910"/>
      <c r="L24" s="909"/>
      <c r="M24" s="910"/>
      <c r="N24" s="909"/>
      <c r="O24" s="910"/>
      <c r="P24" s="909"/>
      <c r="Q24" s="910"/>
      <c r="R24" s="909"/>
      <c r="S24" s="915"/>
      <c r="T24" s="408"/>
      <c r="U24" s="62">
        <f t="shared" si="0"/>
        <v>0</v>
      </c>
      <c r="V24" s="294"/>
    </row>
    <row r="25" spans="1:22" ht="27.95" customHeight="1" x14ac:dyDescent="0.2">
      <c r="A25" s="421"/>
      <c r="B25" s="319" t="s">
        <v>1075</v>
      </c>
      <c r="C25" s="137" t="s">
        <v>970</v>
      </c>
      <c r="D25" s="909"/>
      <c r="E25" s="910"/>
      <c r="F25" s="909"/>
      <c r="G25" s="910"/>
      <c r="H25" s="909"/>
      <c r="I25" s="910"/>
      <c r="J25" s="909"/>
      <c r="K25" s="910"/>
      <c r="L25" s="909"/>
      <c r="M25" s="910"/>
      <c r="N25" s="909"/>
      <c r="O25" s="910"/>
      <c r="P25" s="909"/>
      <c r="Q25" s="910"/>
      <c r="R25" s="909"/>
      <c r="S25" s="915"/>
      <c r="T25" s="408"/>
      <c r="U25" s="62">
        <f t="shared" si="0"/>
        <v>0</v>
      </c>
      <c r="V25" s="294"/>
    </row>
    <row r="26" spans="1:22" s="4" customFormat="1" ht="27.95" customHeight="1" x14ac:dyDescent="0.2">
      <c r="A26" s="421"/>
      <c r="B26" s="319" t="s">
        <v>1109</v>
      </c>
      <c r="C26" s="137" t="s">
        <v>9</v>
      </c>
      <c r="D26" s="909"/>
      <c r="E26" s="910"/>
      <c r="F26" s="909"/>
      <c r="G26" s="910"/>
      <c r="H26" s="909"/>
      <c r="I26" s="910"/>
      <c r="J26" s="909"/>
      <c r="K26" s="910"/>
      <c r="L26" s="909"/>
      <c r="M26" s="910"/>
      <c r="N26" s="909"/>
      <c r="O26" s="910"/>
      <c r="P26" s="909"/>
      <c r="Q26" s="910"/>
      <c r="R26" s="909"/>
      <c r="S26" s="915"/>
      <c r="T26" s="408"/>
      <c r="U26" s="62">
        <f t="shared" si="0"/>
        <v>0</v>
      </c>
      <c r="V26" s="294"/>
    </row>
    <row r="27" spans="1:22" ht="45" customHeight="1" x14ac:dyDescent="0.2">
      <c r="A27" s="421"/>
      <c r="B27" s="319" t="s">
        <v>1025</v>
      </c>
      <c r="C27" s="137" t="s">
        <v>1112</v>
      </c>
      <c r="D27" s="909"/>
      <c r="E27" s="910"/>
      <c r="F27" s="909"/>
      <c r="G27" s="910"/>
      <c r="H27" s="909"/>
      <c r="I27" s="910"/>
      <c r="J27" s="909"/>
      <c r="K27" s="910"/>
      <c r="L27" s="909"/>
      <c r="M27" s="910"/>
      <c r="N27" s="909"/>
      <c r="O27" s="910"/>
      <c r="P27" s="909"/>
      <c r="Q27" s="910"/>
      <c r="R27" s="909"/>
      <c r="S27" s="915"/>
      <c r="T27" s="408"/>
      <c r="U27" s="62">
        <f t="shared" si="0"/>
        <v>0</v>
      </c>
      <c r="V27" s="294"/>
    </row>
    <row r="28" spans="1:22" ht="27.75" customHeight="1" x14ac:dyDescent="0.2">
      <c r="A28" s="421"/>
      <c r="B28" s="319" t="s">
        <v>892</v>
      </c>
      <c r="C28" s="137" t="s">
        <v>987</v>
      </c>
      <c r="D28" s="909"/>
      <c r="E28" s="910"/>
      <c r="F28" s="909"/>
      <c r="G28" s="910"/>
      <c r="H28" s="909"/>
      <c r="I28" s="910"/>
      <c r="J28" s="909"/>
      <c r="K28" s="910"/>
      <c r="L28" s="909"/>
      <c r="M28" s="910"/>
      <c r="N28" s="909"/>
      <c r="O28" s="910"/>
      <c r="P28" s="909"/>
      <c r="Q28" s="910"/>
      <c r="R28" s="909"/>
      <c r="S28" s="915"/>
      <c r="T28" s="408"/>
      <c r="U28" s="62">
        <f t="shared" si="0"/>
        <v>0</v>
      </c>
      <c r="V28" s="294"/>
    </row>
    <row r="29" spans="1:22" ht="45" customHeight="1" x14ac:dyDescent="0.2">
      <c r="A29" s="421"/>
      <c r="B29" s="319" t="s">
        <v>898</v>
      </c>
      <c r="C29" s="137" t="s">
        <v>1058</v>
      </c>
      <c r="D29" s="909"/>
      <c r="E29" s="910"/>
      <c r="F29" s="909"/>
      <c r="G29" s="910"/>
      <c r="H29" s="909"/>
      <c r="I29" s="910"/>
      <c r="J29" s="909"/>
      <c r="K29" s="910"/>
      <c r="L29" s="909"/>
      <c r="M29" s="910"/>
      <c r="N29" s="909"/>
      <c r="O29" s="910"/>
      <c r="P29" s="909"/>
      <c r="Q29" s="910"/>
      <c r="R29" s="909"/>
      <c r="S29" s="915"/>
      <c r="T29" s="408"/>
      <c r="U29" s="62">
        <f t="shared" si="0"/>
        <v>0</v>
      </c>
      <c r="V29" s="294"/>
    </row>
    <row r="30" spans="1:22" ht="45" customHeight="1" x14ac:dyDescent="0.2">
      <c r="A30" s="421"/>
      <c r="B30" s="325" t="s">
        <v>899</v>
      </c>
      <c r="C30" s="129" t="s">
        <v>490</v>
      </c>
      <c r="D30" s="909"/>
      <c r="E30" s="910"/>
      <c r="F30" s="909"/>
      <c r="G30" s="910"/>
      <c r="H30" s="909"/>
      <c r="I30" s="910"/>
      <c r="J30" s="909"/>
      <c r="K30" s="910"/>
      <c r="L30" s="909"/>
      <c r="M30" s="910"/>
      <c r="N30" s="909"/>
      <c r="O30" s="910"/>
      <c r="P30" s="909"/>
      <c r="Q30" s="910"/>
      <c r="R30" s="909"/>
      <c r="S30" s="915"/>
      <c r="T30" s="408"/>
      <c r="U30" s="62">
        <f t="shared" si="0"/>
        <v>0</v>
      </c>
      <c r="V30" s="294"/>
    </row>
    <row r="31" spans="1:22" ht="27.95" customHeight="1" thickBot="1" x14ac:dyDescent="0.25">
      <c r="A31" s="411"/>
      <c r="B31" s="326" t="s">
        <v>893</v>
      </c>
      <c r="C31" s="148" t="s">
        <v>229</v>
      </c>
      <c r="D31" s="911"/>
      <c r="E31" s="912"/>
      <c r="F31" s="911"/>
      <c r="G31" s="912"/>
      <c r="H31" s="911"/>
      <c r="I31" s="912"/>
      <c r="J31" s="911"/>
      <c r="K31" s="912"/>
      <c r="L31" s="911"/>
      <c r="M31" s="912"/>
      <c r="N31" s="911"/>
      <c r="O31" s="912"/>
      <c r="P31" s="911"/>
      <c r="Q31" s="912"/>
      <c r="R31" s="911"/>
      <c r="S31" s="914"/>
      <c r="T31" s="411"/>
      <c r="U31" s="62">
        <f t="shared" si="0"/>
        <v>0</v>
      </c>
      <c r="V31" s="294"/>
    </row>
    <row r="32" spans="1:22" s="4" customFormat="1" ht="30" customHeight="1" thickBot="1" x14ac:dyDescent="0.25">
      <c r="A32" s="408"/>
      <c r="B32" s="316">
        <v>107</v>
      </c>
      <c r="C32" s="392" t="s">
        <v>638</v>
      </c>
      <c r="D32" s="550" t="s">
        <v>661</v>
      </c>
      <c r="E32" s="437"/>
      <c r="F32" s="379" t="s">
        <v>661</v>
      </c>
      <c r="G32" s="438"/>
      <c r="H32" s="550"/>
      <c r="I32" s="437"/>
      <c r="J32" s="379"/>
      <c r="K32" s="438"/>
      <c r="L32" s="550" t="s">
        <v>661</v>
      </c>
      <c r="M32" s="437"/>
      <c r="N32" s="379"/>
      <c r="O32" s="437"/>
      <c r="P32" s="99"/>
      <c r="Q32" s="549"/>
      <c r="R32" s="550" t="s">
        <v>661</v>
      </c>
      <c r="S32" s="552"/>
      <c r="T32" s="439"/>
      <c r="U32" s="82"/>
      <c r="V32" s="82"/>
    </row>
    <row r="33" spans="1:22" ht="45" customHeight="1" x14ac:dyDescent="0.2">
      <c r="A33" s="421"/>
      <c r="B33" s="310" t="s">
        <v>900</v>
      </c>
      <c r="C33" s="136" t="s">
        <v>1147</v>
      </c>
      <c r="D33" s="928"/>
      <c r="E33" s="930"/>
      <c r="F33" s="928"/>
      <c r="G33" s="930"/>
      <c r="H33" s="928"/>
      <c r="I33" s="930"/>
      <c r="J33" s="928"/>
      <c r="K33" s="930"/>
      <c r="L33" s="928"/>
      <c r="M33" s="930"/>
      <c r="N33" s="928"/>
      <c r="O33" s="930"/>
      <c r="P33" s="928"/>
      <c r="Q33" s="930"/>
      <c r="R33" s="928"/>
      <c r="S33" s="929"/>
      <c r="T33" s="408"/>
      <c r="U33" s="62">
        <f>COUNTIF(D33:S33,"a")+COUNTIF(D33:S33,"s")</f>
        <v>0</v>
      </c>
      <c r="V33" s="294"/>
    </row>
    <row r="34" spans="1:22" ht="30" customHeight="1" thickBot="1" x14ac:dyDescent="0.25">
      <c r="A34" s="421"/>
      <c r="B34" s="326" t="s">
        <v>894</v>
      </c>
      <c r="C34" s="154" t="s">
        <v>353</v>
      </c>
      <c r="D34" s="911"/>
      <c r="E34" s="912"/>
      <c r="F34" s="911"/>
      <c r="G34" s="912"/>
      <c r="H34" s="911"/>
      <c r="I34" s="912"/>
      <c r="J34" s="911"/>
      <c r="K34" s="912"/>
      <c r="L34" s="911"/>
      <c r="M34" s="912"/>
      <c r="N34" s="911"/>
      <c r="O34" s="912"/>
      <c r="P34" s="911"/>
      <c r="Q34" s="912"/>
      <c r="R34" s="911"/>
      <c r="S34" s="914"/>
      <c r="T34" s="411"/>
      <c r="U34" s="62">
        <f>COUNTIF(D34:S34,"a")+COUNTIF(D34:S34,"s")</f>
        <v>0</v>
      </c>
      <c r="V34" s="294"/>
    </row>
    <row r="35" spans="1:22" ht="30" customHeight="1" thickBot="1" x14ac:dyDescent="0.25">
      <c r="A35" s="421"/>
      <c r="B35" s="322">
        <v>108</v>
      </c>
      <c r="C35" s="123" t="s">
        <v>639</v>
      </c>
      <c r="D35" s="26" t="s">
        <v>661</v>
      </c>
      <c r="E35" s="93"/>
      <c r="F35" s="36" t="s">
        <v>661</v>
      </c>
      <c r="G35" s="94"/>
      <c r="H35" s="26" t="s">
        <v>661</v>
      </c>
      <c r="I35" s="93"/>
      <c r="J35" s="36" t="s">
        <v>661</v>
      </c>
      <c r="K35" s="94"/>
      <c r="L35" s="26" t="s">
        <v>661</v>
      </c>
      <c r="M35" s="93"/>
      <c r="N35" s="36" t="s">
        <v>661</v>
      </c>
      <c r="O35" s="93"/>
      <c r="P35" s="37" t="s">
        <v>661</v>
      </c>
      <c r="Q35" s="35"/>
      <c r="R35" s="26" t="s">
        <v>661</v>
      </c>
      <c r="S35" s="51"/>
      <c r="T35" s="434"/>
    </row>
    <row r="36" spans="1:22" ht="45" customHeight="1" x14ac:dyDescent="0.2">
      <c r="A36" s="421"/>
      <c r="B36" s="310" t="s">
        <v>895</v>
      </c>
      <c r="C36" s="136" t="s">
        <v>74</v>
      </c>
      <c r="D36" s="928"/>
      <c r="E36" s="930"/>
      <c r="F36" s="928"/>
      <c r="G36" s="930"/>
      <c r="H36" s="928"/>
      <c r="I36" s="930"/>
      <c r="J36" s="928"/>
      <c r="K36" s="930"/>
      <c r="L36" s="928"/>
      <c r="M36" s="930"/>
      <c r="N36" s="928"/>
      <c r="O36" s="930"/>
      <c r="P36" s="928"/>
      <c r="Q36" s="930"/>
      <c r="R36" s="928"/>
      <c r="S36" s="929"/>
      <c r="T36" s="408"/>
      <c r="U36" s="62">
        <f>COUNTIF(D36:S36,"a")+COUNTIF(D36:S36,"s")</f>
        <v>0</v>
      </c>
      <c r="V36" s="294"/>
    </row>
    <row r="37" spans="1:22" ht="45" customHeight="1" x14ac:dyDescent="0.2">
      <c r="A37" s="421"/>
      <c r="B37" s="319" t="s">
        <v>896</v>
      </c>
      <c r="C37" s="137" t="s">
        <v>1134</v>
      </c>
      <c r="D37" s="909"/>
      <c r="E37" s="910"/>
      <c r="F37" s="909"/>
      <c r="G37" s="910"/>
      <c r="H37" s="909"/>
      <c r="I37" s="910"/>
      <c r="J37" s="909"/>
      <c r="K37" s="910"/>
      <c r="L37" s="909"/>
      <c r="M37" s="910"/>
      <c r="N37" s="909"/>
      <c r="O37" s="910"/>
      <c r="P37" s="909"/>
      <c r="Q37" s="910"/>
      <c r="R37" s="909"/>
      <c r="S37" s="915"/>
      <c r="T37" s="408"/>
      <c r="U37" s="62">
        <f>COUNTIF(D37:S37,"a")+COUNTIF(D37:S37,"s")</f>
        <v>0</v>
      </c>
      <c r="V37" s="294"/>
    </row>
    <row r="38" spans="1:22" ht="45" customHeight="1" x14ac:dyDescent="0.2">
      <c r="A38" s="421"/>
      <c r="B38" s="325" t="s">
        <v>897</v>
      </c>
      <c r="C38" s="129" t="s">
        <v>732</v>
      </c>
      <c r="D38" s="909"/>
      <c r="E38" s="910"/>
      <c r="F38" s="909"/>
      <c r="G38" s="910"/>
      <c r="H38" s="909"/>
      <c r="I38" s="910"/>
      <c r="J38" s="909"/>
      <c r="K38" s="910"/>
      <c r="L38" s="909"/>
      <c r="M38" s="910"/>
      <c r="N38" s="909"/>
      <c r="O38" s="910"/>
      <c r="P38" s="909"/>
      <c r="Q38" s="910"/>
      <c r="R38" s="909"/>
      <c r="S38" s="915"/>
      <c r="T38" s="408"/>
      <c r="U38" s="62">
        <f>COUNTIF(D38:S38,"a")+COUNTIF(D38:S38,"s")</f>
        <v>0</v>
      </c>
      <c r="V38" s="294"/>
    </row>
    <row r="39" spans="1:22" ht="30" customHeight="1" thickBot="1" x14ac:dyDescent="0.25">
      <c r="A39" s="421"/>
      <c r="B39" s="325" t="s">
        <v>454</v>
      </c>
      <c r="C39" s="154" t="s">
        <v>13</v>
      </c>
      <c r="D39" s="911"/>
      <c r="E39" s="912"/>
      <c r="F39" s="911"/>
      <c r="G39" s="912"/>
      <c r="H39" s="911"/>
      <c r="I39" s="912"/>
      <c r="J39" s="911"/>
      <c r="K39" s="912"/>
      <c r="L39" s="911"/>
      <c r="M39" s="912"/>
      <c r="N39" s="911"/>
      <c r="O39" s="912"/>
      <c r="P39" s="911"/>
      <c r="Q39" s="912"/>
      <c r="R39" s="911"/>
      <c r="S39" s="914"/>
      <c r="T39" s="408"/>
      <c r="U39" s="62">
        <f>COUNTIF(D39:S39,"a")+COUNTIF(D39:S39,"s")</f>
        <v>0</v>
      </c>
      <c r="V39" s="294"/>
    </row>
    <row r="40" spans="1:22" ht="33" customHeight="1" thickBot="1" x14ac:dyDescent="0.25">
      <c r="A40" s="421"/>
      <c r="B40" s="322">
        <v>109</v>
      </c>
      <c r="C40" s="375" t="s">
        <v>92</v>
      </c>
      <c r="D40" s="26" t="s">
        <v>661</v>
      </c>
      <c r="E40" s="95"/>
      <c r="F40" s="36" t="s">
        <v>661</v>
      </c>
      <c r="G40" s="96"/>
      <c r="H40" s="26"/>
      <c r="I40" s="95"/>
      <c r="J40" s="36"/>
      <c r="K40" s="96"/>
      <c r="L40" s="26" t="s">
        <v>661</v>
      </c>
      <c r="M40" s="95"/>
      <c r="N40" s="36"/>
      <c r="O40" s="95"/>
      <c r="P40" s="96"/>
      <c r="Q40" s="95"/>
      <c r="R40" s="26" t="s">
        <v>661</v>
      </c>
      <c r="S40" s="97"/>
      <c r="T40" s="434"/>
    </row>
    <row r="41" spans="1:22" ht="30" customHeight="1" x14ac:dyDescent="0.2">
      <c r="A41" s="421"/>
      <c r="B41" s="310" t="s">
        <v>269</v>
      </c>
      <c r="C41" s="136" t="s">
        <v>270</v>
      </c>
      <c r="D41" s="928"/>
      <c r="E41" s="930"/>
      <c r="F41" s="928"/>
      <c r="G41" s="930"/>
      <c r="H41" s="928"/>
      <c r="I41" s="930"/>
      <c r="J41" s="928"/>
      <c r="K41" s="930"/>
      <c r="L41" s="928"/>
      <c r="M41" s="930"/>
      <c r="N41" s="928"/>
      <c r="O41" s="930"/>
      <c r="P41" s="928"/>
      <c r="Q41" s="930"/>
      <c r="R41" s="928"/>
      <c r="S41" s="929"/>
      <c r="T41" s="408"/>
      <c r="U41" s="62">
        <f>COUNTIF(D41:S41,"a")+COUNTIF(D41:S41,"s")</f>
        <v>0</v>
      </c>
      <c r="V41" s="294"/>
    </row>
    <row r="42" spans="1:22" ht="30" customHeight="1" x14ac:dyDescent="0.2">
      <c r="A42" s="421"/>
      <c r="B42" s="319" t="s">
        <v>271</v>
      </c>
      <c r="C42" s="128" t="s">
        <v>1052</v>
      </c>
      <c r="D42" s="909"/>
      <c r="E42" s="910"/>
      <c r="F42" s="909"/>
      <c r="G42" s="910"/>
      <c r="H42" s="909"/>
      <c r="I42" s="910"/>
      <c r="J42" s="909"/>
      <c r="K42" s="910"/>
      <c r="L42" s="909"/>
      <c r="M42" s="910"/>
      <c r="N42" s="909"/>
      <c r="O42" s="910"/>
      <c r="P42" s="909"/>
      <c r="Q42" s="910"/>
      <c r="R42" s="909"/>
      <c r="S42" s="915"/>
      <c r="T42" s="408"/>
      <c r="U42" s="62">
        <f>COUNTIF(D42:S42,"a")+COUNTIF(D42:S42,"s")</f>
        <v>0</v>
      </c>
      <c r="V42" s="294"/>
    </row>
    <row r="43" spans="1:22" ht="30" customHeight="1" x14ac:dyDescent="0.2">
      <c r="A43" s="421"/>
      <c r="B43" s="319" t="s">
        <v>546</v>
      </c>
      <c r="C43" s="137" t="s">
        <v>1742</v>
      </c>
      <c r="D43" s="909"/>
      <c r="E43" s="910"/>
      <c r="F43" s="909"/>
      <c r="G43" s="910"/>
      <c r="H43" s="909"/>
      <c r="I43" s="910"/>
      <c r="J43" s="909"/>
      <c r="K43" s="910"/>
      <c r="L43" s="909"/>
      <c r="M43" s="910"/>
      <c r="N43" s="909"/>
      <c r="O43" s="910"/>
      <c r="P43" s="909"/>
      <c r="Q43" s="910"/>
      <c r="R43" s="909"/>
      <c r="S43" s="915"/>
      <c r="T43" s="408"/>
      <c r="U43" s="62">
        <f>COUNTIF(D43:S43,"a")+COUNTIF(D43:S43,"s")</f>
        <v>0</v>
      </c>
      <c r="V43" s="294"/>
    </row>
    <row r="44" spans="1:22" ht="30" customHeight="1" x14ac:dyDescent="0.2">
      <c r="A44" s="421"/>
      <c r="B44" s="319" t="s">
        <v>740</v>
      </c>
      <c r="C44" s="128" t="s">
        <v>1140</v>
      </c>
      <c r="D44" s="909"/>
      <c r="E44" s="910"/>
      <c r="F44" s="909"/>
      <c r="G44" s="910"/>
      <c r="H44" s="909"/>
      <c r="I44" s="910"/>
      <c r="J44" s="909"/>
      <c r="K44" s="910"/>
      <c r="L44" s="909"/>
      <c r="M44" s="910"/>
      <c r="N44" s="909"/>
      <c r="O44" s="910"/>
      <c r="P44" s="909"/>
      <c r="Q44" s="910"/>
      <c r="R44" s="909"/>
      <c r="S44" s="915"/>
      <c r="T44" s="408"/>
      <c r="U44" s="62">
        <f>COUNTIF(D44:S44,"a")+COUNTIF(D44:S44,"s")</f>
        <v>0</v>
      </c>
      <c r="V44" s="294"/>
    </row>
    <row r="45" spans="1:22" ht="45" customHeight="1" thickBot="1" x14ac:dyDescent="0.25">
      <c r="A45" s="421"/>
      <c r="B45" s="325" t="s">
        <v>741</v>
      </c>
      <c r="C45" s="129" t="s">
        <v>751</v>
      </c>
      <c r="D45" s="911"/>
      <c r="E45" s="912"/>
      <c r="F45" s="911"/>
      <c r="G45" s="912"/>
      <c r="H45" s="911"/>
      <c r="I45" s="912"/>
      <c r="J45" s="911"/>
      <c r="K45" s="912"/>
      <c r="L45" s="911"/>
      <c r="M45" s="912"/>
      <c r="N45" s="911"/>
      <c r="O45" s="912"/>
      <c r="P45" s="911"/>
      <c r="Q45" s="912"/>
      <c r="R45" s="911"/>
      <c r="S45" s="914"/>
      <c r="T45" s="408"/>
      <c r="U45" s="62">
        <f>COUNTIF(D45:S45,"a")+COUNTIF(D45:S45,"s")</f>
        <v>0</v>
      </c>
      <c r="V45" s="294"/>
    </row>
    <row r="46" spans="1:22" ht="30" customHeight="1" thickBot="1" x14ac:dyDescent="0.25">
      <c r="A46" s="421"/>
      <c r="B46" s="322">
        <v>110</v>
      </c>
      <c r="C46" s="138" t="s">
        <v>361</v>
      </c>
      <c r="D46" s="26" t="s">
        <v>661</v>
      </c>
      <c r="E46" s="95"/>
      <c r="F46" s="36" t="s">
        <v>661</v>
      </c>
      <c r="G46" s="96"/>
      <c r="H46" s="26"/>
      <c r="I46" s="95"/>
      <c r="J46" s="36"/>
      <c r="K46" s="96"/>
      <c r="L46" s="26" t="s">
        <v>661</v>
      </c>
      <c r="M46" s="95"/>
      <c r="N46" s="36"/>
      <c r="O46" s="95"/>
      <c r="P46" s="96"/>
      <c r="Q46" s="95"/>
      <c r="R46" s="26" t="s">
        <v>661</v>
      </c>
      <c r="S46" s="97"/>
      <c r="T46" s="434"/>
    </row>
    <row r="47" spans="1:22" ht="30" customHeight="1" x14ac:dyDescent="0.2">
      <c r="A47" s="421"/>
      <c r="B47" s="310" t="s">
        <v>742</v>
      </c>
      <c r="C47" s="136" t="s">
        <v>119</v>
      </c>
      <c r="D47" s="928"/>
      <c r="E47" s="930"/>
      <c r="F47" s="928"/>
      <c r="G47" s="930"/>
      <c r="H47" s="928"/>
      <c r="I47" s="930"/>
      <c r="J47" s="928"/>
      <c r="K47" s="930"/>
      <c r="L47" s="928"/>
      <c r="M47" s="930"/>
      <c r="N47" s="928"/>
      <c r="O47" s="930"/>
      <c r="P47" s="928"/>
      <c r="Q47" s="930"/>
      <c r="R47" s="928"/>
      <c r="S47" s="929"/>
      <c r="T47" s="408"/>
      <c r="U47" s="62">
        <f t="shared" ref="U47:U52" si="1">COUNTIF(D47:S47,"a")+COUNTIF(D47:S47,"s")</f>
        <v>0</v>
      </c>
      <c r="V47" s="294"/>
    </row>
    <row r="48" spans="1:22" ht="30" customHeight="1" x14ac:dyDescent="0.2">
      <c r="A48" s="421"/>
      <c r="B48" s="319" t="s">
        <v>365</v>
      </c>
      <c r="C48" s="137" t="s">
        <v>354</v>
      </c>
      <c r="D48" s="909"/>
      <c r="E48" s="910"/>
      <c r="F48" s="909"/>
      <c r="G48" s="910"/>
      <c r="H48" s="909"/>
      <c r="I48" s="910"/>
      <c r="J48" s="909"/>
      <c r="K48" s="910"/>
      <c r="L48" s="909"/>
      <c r="M48" s="910"/>
      <c r="N48" s="909"/>
      <c r="O48" s="910"/>
      <c r="P48" s="909"/>
      <c r="Q48" s="910"/>
      <c r="R48" s="909"/>
      <c r="S48" s="915"/>
      <c r="T48" s="408"/>
      <c r="U48" s="62">
        <f t="shared" si="1"/>
        <v>0</v>
      </c>
      <c r="V48" s="294"/>
    </row>
    <row r="49" spans="1:22" ht="30" customHeight="1" x14ac:dyDescent="0.2">
      <c r="A49" s="421"/>
      <c r="B49" s="319" t="s">
        <v>366</v>
      </c>
      <c r="C49" s="128" t="s">
        <v>367</v>
      </c>
      <c r="D49" s="909"/>
      <c r="E49" s="910"/>
      <c r="F49" s="909"/>
      <c r="G49" s="910"/>
      <c r="H49" s="909"/>
      <c r="I49" s="910"/>
      <c r="J49" s="909"/>
      <c r="K49" s="910"/>
      <c r="L49" s="909"/>
      <c r="M49" s="910"/>
      <c r="N49" s="909"/>
      <c r="O49" s="910"/>
      <c r="P49" s="909"/>
      <c r="Q49" s="910"/>
      <c r="R49" s="909"/>
      <c r="S49" s="915"/>
      <c r="T49" s="408"/>
      <c r="U49" s="62">
        <f t="shared" si="1"/>
        <v>0</v>
      </c>
      <c r="V49" s="294"/>
    </row>
    <row r="50" spans="1:22" ht="30" customHeight="1" x14ac:dyDescent="0.2">
      <c r="A50" s="421"/>
      <c r="B50" s="325" t="s">
        <v>368</v>
      </c>
      <c r="C50" s="129" t="s">
        <v>369</v>
      </c>
      <c r="D50" s="909"/>
      <c r="E50" s="910"/>
      <c r="F50" s="909"/>
      <c r="G50" s="910"/>
      <c r="H50" s="909"/>
      <c r="I50" s="910"/>
      <c r="J50" s="909"/>
      <c r="K50" s="910"/>
      <c r="L50" s="909"/>
      <c r="M50" s="910"/>
      <c r="N50" s="909"/>
      <c r="O50" s="910"/>
      <c r="P50" s="909"/>
      <c r="Q50" s="910"/>
      <c r="R50" s="909"/>
      <c r="S50" s="915"/>
      <c r="T50" s="408"/>
      <c r="U50" s="62">
        <f t="shared" si="1"/>
        <v>0</v>
      </c>
      <c r="V50" s="294"/>
    </row>
    <row r="51" spans="1:22" ht="30" customHeight="1" x14ac:dyDescent="0.2">
      <c r="A51" s="421"/>
      <c r="B51" s="325" t="s">
        <v>370</v>
      </c>
      <c r="C51" s="126" t="s">
        <v>383</v>
      </c>
      <c r="D51" s="909"/>
      <c r="E51" s="910"/>
      <c r="F51" s="909"/>
      <c r="G51" s="910"/>
      <c r="H51" s="909"/>
      <c r="I51" s="910"/>
      <c r="J51" s="909"/>
      <c r="K51" s="910"/>
      <c r="L51" s="909"/>
      <c r="M51" s="910"/>
      <c r="N51" s="909"/>
      <c r="O51" s="910"/>
      <c r="P51" s="909"/>
      <c r="Q51" s="910"/>
      <c r="R51" s="909"/>
      <c r="S51" s="915"/>
      <c r="T51" s="408"/>
      <c r="U51" s="62">
        <f t="shared" si="1"/>
        <v>0</v>
      </c>
      <c r="V51" s="294"/>
    </row>
    <row r="52" spans="1:22" ht="45" customHeight="1" thickBot="1" x14ac:dyDescent="0.25">
      <c r="A52" s="421"/>
      <c r="B52" s="325" t="s">
        <v>371</v>
      </c>
      <c r="C52" s="129" t="s">
        <v>869</v>
      </c>
      <c r="D52" s="920"/>
      <c r="E52" s="921"/>
      <c r="F52" s="920"/>
      <c r="G52" s="921"/>
      <c r="H52" s="920"/>
      <c r="I52" s="921"/>
      <c r="J52" s="920"/>
      <c r="K52" s="921"/>
      <c r="L52" s="920"/>
      <c r="M52" s="921"/>
      <c r="N52" s="920"/>
      <c r="O52" s="921"/>
      <c r="P52" s="920"/>
      <c r="Q52" s="921"/>
      <c r="R52" s="920"/>
      <c r="S52" s="931"/>
      <c r="T52" s="409"/>
      <c r="U52" s="62">
        <f t="shared" si="1"/>
        <v>0</v>
      </c>
      <c r="V52" s="294"/>
    </row>
    <row r="53" spans="1:22" ht="30" customHeight="1" thickBot="1" x14ac:dyDescent="0.25">
      <c r="A53" s="421"/>
      <c r="B53" s="322">
        <v>111</v>
      </c>
      <c r="C53" s="123" t="s">
        <v>362</v>
      </c>
      <c r="D53" s="26" t="s">
        <v>661</v>
      </c>
      <c r="E53" s="95"/>
      <c r="F53" s="36" t="s">
        <v>661</v>
      </c>
      <c r="G53" s="96"/>
      <c r="H53" s="26"/>
      <c r="I53" s="95"/>
      <c r="J53" s="36"/>
      <c r="K53" s="96"/>
      <c r="L53" s="26" t="s">
        <v>661</v>
      </c>
      <c r="M53" s="95"/>
      <c r="N53" s="36"/>
      <c r="O53" s="95"/>
      <c r="P53" s="96"/>
      <c r="Q53" s="95"/>
      <c r="R53" s="98"/>
      <c r="S53" s="97"/>
      <c r="T53" s="434"/>
    </row>
    <row r="54" spans="1:22" ht="30" customHeight="1" x14ac:dyDescent="0.2">
      <c r="A54" s="421"/>
      <c r="B54" s="310" t="s">
        <v>309</v>
      </c>
      <c r="C54" s="155" t="s">
        <v>692</v>
      </c>
      <c r="D54" s="928"/>
      <c r="E54" s="930"/>
      <c r="F54" s="928"/>
      <c r="G54" s="930"/>
      <c r="H54" s="928"/>
      <c r="I54" s="930"/>
      <c r="J54" s="928"/>
      <c r="K54" s="930"/>
      <c r="L54" s="928"/>
      <c r="M54" s="930"/>
      <c r="N54" s="928"/>
      <c r="O54" s="930"/>
      <c r="P54" s="928"/>
      <c r="Q54" s="930"/>
      <c r="R54" s="928"/>
      <c r="S54" s="929"/>
      <c r="T54" s="408"/>
      <c r="U54" s="62">
        <f>COUNTIF(D54:S54,"a")+COUNTIF(D54:S54,"s")</f>
        <v>0</v>
      </c>
      <c r="V54" s="294"/>
    </row>
    <row r="55" spans="1:22" ht="30" customHeight="1" x14ac:dyDescent="0.2">
      <c r="A55" s="421"/>
      <c r="B55" s="319" t="s">
        <v>310</v>
      </c>
      <c r="C55" s="126" t="s">
        <v>1003</v>
      </c>
      <c r="D55" s="909"/>
      <c r="E55" s="910"/>
      <c r="F55" s="909"/>
      <c r="G55" s="910"/>
      <c r="H55" s="909"/>
      <c r="I55" s="910"/>
      <c r="J55" s="909"/>
      <c r="K55" s="910"/>
      <c r="L55" s="909"/>
      <c r="M55" s="910"/>
      <c r="N55" s="909"/>
      <c r="O55" s="910"/>
      <c r="P55" s="909"/>
      <c r="Q55" s="910"/>
      <c r="R55" s="909"/>
      <c r="S55" s="915"/>
      <c r="T55" s="408"/>
      <c r="U55" s="62">
        <f>COUNTIF(D55:S55,"a")+COUNTIF(D55:S55,"s")</f>
        <v>0</v>
      </c>
      <c r="V55" s="294"/>
    </row>
    <row r="56" spans="1:22" ht="30" customHeight="1" x14ac:dyDescent="0.2">
      <c r="A56" s="421"/>
      <c r="B56" s="319" t="s">
        <v>1004</v>
      </c>
      <c r="C56" s="129" t="s">
        <v>1005</v>
      </c>
      <c r="D56" s="909"/>
      <c r="E56" s="910"/>
      <c r="F56" s="909"/>
      <c r="G56" s="910"/>
      <c r="H56" s="909"/>
      <c r="I56" s="910"/>
      <c r="J56" s="909"/>
      <c r="K56" s="910"/>
      <c r="L56" s="909"/>
      <c r="M56" s="910"/>
      <c r="N56" s="909"/>
      <c r="O56" s="910"/>
      <c r="P56" s="909"/>
      <c r="Q56" s="910"/>
      <c r="R56" s="909"/>
      <c r="S56" s="915"/>
      <c r="T56" s="408"/>
      <c r="U56" s="62">
        <f>COUNTIF(D56:S56,"a")+COUNTIF(D56:S56,"s")</f>
        <v>0</v>
      </c>
      <c r="V56" s="294"/>
    </row>
    <row r="57" spans="1:22" ht="30" customHeight="1" thickBot="1" x14ac:dyDescent="0.25">
      <c r="A57" s="411"/>
      <c r="B57" s="326" t="s">
        <v>557</v>
      </c>
      <c r="C57" s="444" t="s">
        <v>520</v>
      </c>
      <c r="D57" s="911"/>
      <c r="E57" s="912"/>
      <c r="F57" s="911"/>
      <c r="G57" s="912"/>
      <c r="H57" s="911"/>
      <c r="I57" s="912"/>
      <c r="J57" s="911"/>
      <c r="K57" s="912"/>
      <c r="L57" s="911"/>
      <c r="M57" s="912"/>
      <c r="N57" s="911"/>
      <c r="O57" s="912"/>
      <c r="P57" s="911"/>
      <c r="Q57" s="912"/>
      <c r="R57" s="911"/>
      <c r="S57" s="914"/>
      <c r="T57" s="411"/>
      <c r="U57" s="62">
        <f>COUNTIF(D57:S57,"a")+COUNTIF(D57:S57,"s")</f>
        <v>0</v>
      </c>
      <c r="V57" s="294"/>
    </row>
    <row r="58" spans="1:22" ht="30" customHeight="1" thickBot="1" x14ac:dyDescent="0.25">
      <c r="A58" s="408"/>
      <c r="B58" s="316">
        <v>112</v>
      </c>
      <c r="C58" s="394" t="s">
        <v>363</v>
      </c>
      <c r="D58" s="550" t="s">
        <v>661</v>
      </c>
      <c r="E58" s="440"/>
      <c r="F58" s="379" t="s">
        <v>661</v>
      </c>
      <c r="G58" s="441"/>
      <c r="H58" s="550"/>
      <c r="I58" s="440"/>
      <c r="J58" s="379"/>
      <c r="K58" s="441"/>
      <c r="L58" s="550" t="s">
        <v>661</v>
      </c>
      <c r="M58" s="440"/>
      <c r="N58" s="379"/>
      <c r="O58" s="440"/>
      <c r="P58" s="441"/>
      <c r="Q58" s="440"/>
      <c r="R58" s="442"/>
      <c r="S58" s="443"/>
      <c r="T58" s="439"/>
    </row>
    <row r="59" spans="1:22" ht="45" customHeight="1" x14ac:dyDescent="0.2">
      <c r="A59" s="421"/>
      <c r="B59" s="310" t="s">
        <v>558</v>
      </c>
      <c r="C59" s="136" t="s">
        <v>733</v>
      </c>
      <c r="D59" s="928"/>
      <c r="E59" s="930"/>
      <c r="F59" s="928"/>
      <c r="G59" s="930"/>
      <c r="H59" s="928"/>
      <c r="I59" s="930"/>
      <c r="J59" s="928"/>
      <c r="K59" s="930"/>
      <c r="L59" s="928"/>
      <c r="M59" s="930"/>
      <c r="N59" s="928"/>
      <c r="O59" s="930"/>
      <c r="P59" s="928"/>
      <c r="Q59" s="930"/>
      <c r="R59" s="928"/>
      <c r="S59" s="929"/>
      <c r="T59" s="408"/>
      <c r="U59" s="62">
        <f>COUNTIF(D59:S59,"a")+COUNTIF(D59:S59,"s")</f>
        <v>0</v>
      </c>
      <c r="V59" s="294"/>
    </row>
    <row r="60" spans="1:22" ht="45" customHeight="1" thickBot="1" x14ac:dyDescent="0.25">
      <c r="A60" s="421"/>
      <c r="B60" s="326" t="s">
        <v>559</v>
      </c>
      <c r="C60" s="385" t="s">
        <v>483</v>
      </c>
      <c r="D60" s="911"/>
      <c r="E60" s="912"/>
      <c r="F60" s="911"/>
      <c r="G60" s="912"/>
      <c r="H60" s="911"/>
      <c r="I60" s="912"/>
      <c r="J60" s="911"/>
      <c r="K60" s="912"/>
      <c r="L60" s="911"/>
      <c r="M60" s="912"/>
      <c r="N60" s="911"/>
      <c r="O60" s="912"/>
      <c r="P60" s="911"/>
      <c r="Q60" s="912"/>
      <c r="R60" s="911"/>
      <c r="S60" s="914"/>
      <c r="T60" s="411"/>
      <c r="U60" s="62">
        <f>COUNTIF(D60:S60,"a")+COUNTIF(D60:S60,"s")</f>
        <v>0</v>
      </c>
      <c r="V60" s="294"/>
    </row>
    <row r="61" spans="1:22" ht="33" customHeight="1" thickBot="1" x14ac:dyDescent="0.35">
      <c r="A61" s="433"/>
      <c r="B61" s="384" t="s">
        <v>744</v>
      </c>
      <c r="C61" s="734" t="s">
        <v>364</v>
      </c>
      <c r="D61" s="735"/>
      <c r="E61" s="735"/>
      <c r="F61" s="735"/>
      <c r="G61" s="735"/>
      <c r="H61" s="735"/>
      <c r="I61" s="735"/>
      <c r="J61" s="735"/>
      <c r="K61" s="735"/>
      <c r="L61" s="735"/>
      <c r="M61" s="735"/>
      <c r="N61" s="735"/>
      <c r="O61" s="735"/>
      <c r="P61" s="735"/>
      <c r="Q61" s="735"/>
      <c r="R61" s="735"/>
      <c r="S61" s="735"/>
      <c r="T61" s="913"/>
    </row>
    <row r="62" spans="1:22" ht="33" customHeight="1" thickBot="1" x14ac:dyDescent="0.35">
      <c r="A62" s="433"/>
      <c r="B62" s="332">
        <v>200</v>
      </c>
      <c r="C62" s="738" t="s">
        <v>1012</v>
      </c>
      <c r="D62" s="739"/>
      <c r="E62" s="739"/>
      <c r="F62" s="739"/>
      <c r="G62" s="739"/>
      <c r="H62" s="739"/>
      <c r="I62" s="739"/>
      <c r="J62" s="739"/>
      <c r="K62" s="739"/>
      <c r="L62" s="739"/>
      <c r="M62" s="739"/>
      <c r="N62" s="739"/>
      <c r="O62" s="739"/>
      <c r="P62" s="739"/>
      <c r="Q62" s="739"/>
      <c r="R62" s="739"/>
      <c r="S62" s="739"/>
      <c r="T62" s="932"/>
    </row>
    <row r="63" spans="1:22" ht="30" customHeight="1" thickBot="1" x14ac:dyDescent="0.25">
      <c r="A63" s="433"/>
      <c r="B63" s="330" t="s">
        <v>937</v>
      </c>
      <c r="C63" s="140" t="s">
        <v>726</v>
      </c>
      <c r="D63" s="26" t="s">
        <v>661</v>
      </c>
      <c r="E63" s="35"/>
      <c r="F63" s="26"/>
      <c r="G63" s="35"/>
      <c r="H63" s="26"/>
      <c r="I63" s="35"/>
      <c r="J63" s="26"/>
      <c r="K63" s="35"/>
      <c r="L63" s="26" t="s">
        <v>661</v>
      </c>
      <c r="M63" s="35"/>
      <c r="N63" s="26"/>
      <c r="O63" s="35"/>
      <c r="P63" s="26"/>
      <c r="Q63" s="35"/>
      <c r="R63" s="26"/>
      <c r="S63" s="37"/>
      <c r="T63" s="434"/>
    </row>
    <row r="64" spans="1:22" ht="27.95" customHeight="1" thickBot="1" x14ac:dyDescent="0.25">
      <c r="A64" s="433"/>
      <c r="B64" s="333" t="s">
        <v>936</v>
      </c>
      <c r="C64" s="156" t="s">
        <v>1123</v>
      </c>
      <c r="D64" s="907"/>
      <c r="E64" s="908"/>
      <c r="F64" s="907"/>
      <c r="G64" s="908"/>
      <c r="H64" s="907"/>
      <c r="I64" s="908"/>
      <c r="J64" s="907"/>
      <c r="K64" s="908"/>
      <c r="L64" s="907"/>
      <c r="M64" s="908"/>
      <c r="N64" s="907"/>
      <c r="O64" s="908"/>
      <c r="P64" s="907"/>
      <c r="Q64" s="908"/>
      <c r="R64" s="907"/>
      <c r="S64" s="924"/>
      <c r="T64" s="408"/>
      <c r="U64" s="62">
        <f>COUNTIF(D64:S64,"a")+COUNTIF(D64:S64,"s")</f>
        <v>0</v>
      </c>
      <c r="V64" s="294"/>
    </row>
    <row r="65" spans="1:22" ht="30" customHeight="1" thickBot="1" x14ac:dyDescent="0.25">
      <c r="A65" s="433"/>
      <c r="B65" s="333">
        <v>211</v>
      </c>
      <c r="C65" s="157" t="s">
        <v>693</v>
      </c>
      <c r="D65" s="550" t="s">
        <v>661</v>
      </c>
      <c r="E65" s="549"/>
      <c r="F65" s="550"/>
      <c r="G65" s="549"/>
      <c r="H65" s="550"/>
      <c r="I65" s="549"/>
      <c r="J65" s="550"/>
      <c r="K65" s="549"/>
      <c r="L65" s="550" t="s">
        <v>661</v>
      </c>
      <c r="M65" s="549"/>
      <c r="N65" s="550"/>
      <c r="O65" s="549"/>
      <c r="P65" s="550"/>
      <c r="Q65" s="549"/>
      <c r="R65" s="550"/>
      <c r="S65" s="99"/>
      <c r="T65" s="434"/>
    </row>
    <row r="66" spans="1:22" ht="27.95" customHeight="1" thickBot="1" x14ac:dyDescent="0.25">
      <c r="A66" s="427"/>
      <c r="B66" s="322" t="s">
        <v>561</v>
      </c>
      <c r="C66" s="548" t="s">
        <v>1023</v>
      </c>
      <c r="D66" s="907"/>
      <c r="E66" s="908"/>
      <c r="F66" s="907"/>
      <c r="G66" s="908"/>
      <c r="H66" s="907"/>
      <c r="I66" s="908"/>
      <c r="J66" s="907"/>
      <c r="K66" s="908"/>
      <c r="L66" s="907"/>
      <c r="M66" s="908"/>
      <c r="N66" s="907"/>
      <c r="O66" s="908"/>
      <c r="P66" s="907"/>
      <c r="Q66" s="908"/>
      <c r="R66" s="907"/>
      <c r="S66" s="924"/>
      <c r="T66" s="408"/>
      <c r="U66" s="62">
        <f>COUNTIF(D66:S66,"a")+COUNTIF(D66:S66,"s")</f>
        <v>0</v>
      </c>
      <c r="V66" s="294"/>
    </row>
    <row r="67" spans="1:22" ht="30" customHeight="1" thickBot="1" x14ac:dyDescent="0.25">
      <c r="A67" s="433"/>
      <c r="B67" s="322">
        <v>213</v>
      </c>
      <c r="C67" s="119" t="s">
        <v>727</v>
      </c>
      <c r="D67" s="26" t="s">
        <v>661</v>
      </c>
      <c r="E67" s="35"/>
      <c r="F67" s="26"/>
      <c r="G67" s="35"/>
      <c r="H67" s="26"/>
      <c r="I67" s="35"/>
      <c r="J67" s="26"/>
      <c r="K67" s="35"/>
      <c r="L67" s="26" t="s">
        <v>661</v>
      </c>
      <c r="M67" s="35"/>
      <c r="N67" s="26"/>
      <c r="O67" s="35"/>
      <c r="P67" s="551"/>
      <c r="Q67" s="35"/>
      <c r="R67" s="26"/>
      <c r="S67" s="51"/>
      <c r="T67" s="434"/>
    </row>
    <row r="68" spans="1:22" ht="27.95" customHeight="1" thickBot="1" x14ac:dyDescent="0.25">
      <c r="A68" s="427"/>
      <c r="B68" s="322" t="s">
        <v>484</v>
      </c>
      <c r="C68" s="158" t="s">
        <v>15</v>
      </c>
      <c r="D68" s="907"/>
      <c r="E68" s="908"/>
      <c r="F68" s="907"/>
      <c r="G68" s="908"/>
      <c r="H68" s="907"/>
      <c r="I68" s="908"/>
      <c r="J68" s="907"/>
      <c r="K68" s="908"/>
      <c r="L68" s="907"/>
      <c r="M68" s="908"/>
      <c r="N68" s="907"/>
      <c r="O68" s="908"/>
      <c r="P68" s="907"/>
      <c r="Q68" s="908"/>
      <c r="R68" s="907"/>
      <c r="S68" s="924"/>
      <c r="T68" s="408"/>
      <c r="U68" s="62">
        <f>COUNTIF(D68:S68,"a")+COUNTIF(D68:S68,"s")</f>
        <v>0</v>
      </c>
      <c r="V68" s="294"/>
    </row>
    <row r="69" spans="1:22" ht="30" customHeight="1" thickBot="1" x14ac:dyDescent="0.25">
      <c r="A69" s="421"/>
      <c r="B69" s="322">
        <v>216</v>
      </c>
      <c r="C69" s="146" t="s">
        <v>728</v>
      </c>
      <c r="D69" s="26" t="s">
        <v>661</v>
      </c>
      <c r="E69" s="35"/>
      <c r="F69" s="36"/>
      <c r="G69" s="37"/>
      <c r="H69" s="26"/>
      <c r="I69" s="35"/>
      <c r="J69" s="36"/>
      <c r="K69" s="37"/>
      <c r="L69" s="26"/>
      <c r="M69" s="35"/>
      <c r="N69" s="36"/>
      <c r="O69" s="35"/>
      <c r="P69" s="37"/>
      <c r="Q69" s="35"/>
      <c r="R69" s="26"/>
      <c r="S69" s="51"/>
      <c r="T69" s="434"/>
    </row>
    <row r="70" spans="1:22" ht="27.95" customHeight="1" thickBot="1" x14ac:dyDescent="0.25">
      <c r="A70" s="421"/>
      <c r="B70" s="322" t="s">
        <v>332</v>
      </c>
      <c r="C70" s="131" t="s">
        <v>828</v>
      </c>
      <c r="D70" s="928"/>
      <c r="E70" s="930"/>
      <c r="F70" s="928"/>
      <c r="G70" s="930"/>
      <c r="H70" s="928"/>
      <c r="I70" s="930"/>
      <c r="J70" s="928"/>
      <c r="K70" s="930"/>
      <c r="L70" s="928"/>
      <c r="M70" s="930"/>
      <c r="N70" s="928"/>
      <c r="O70" s="930"/>
      <c r="P70" s="928"/>
      <c r="Q70" s="930"/>
      <c r="R70" s="928"/>
      <c r="S70" s="929"/>
      <c r="T70" s="408"/>
      <c r="U70" s="62">
        <f>COUNTIF(D70:S70,"a")+COUNTIF(D70:S70,"s")</f>
        <v>0</v>
      </c>
      <c r="V70" s="294"/>
    </row>
    <row r="71" spans="1:22" ht="27.95" customHeight="1" thickBot="1" x14ac:dyDescent="0.25">
      <c r="A71" s="411"/>
      <c r="B71" s="322" t="s">
        <v>333</v>
      </c>
      <c r="C71" s="445" t="s">
        <v>437</v>
      </c>
      <c r="D71" s="926"/>
      <c r="E71" s="927"/>
      <c r="F71" s="926"/>
      <c r="G71" s="927"/>
      <c r="H71" s="926"/>
      <c r="I71" s="927"/>
      <c r="J71" s="926"/>
      <c r="K71" s="927"/>
      <c r="L71" s="926"/>
      <c r="M71" s="927"/>
      <c r="N71" s="926"/>
      <c r="O71" s="927"/>
      <c r="P71" s="926"/>
      <c r="Q71" s="927"/>
      <c r="R71" s="926"/>
      <c r="S71" s="933"/>
      <c r="T71" s="412"/>
      <c r="U71" s="62">
        <f>COUNTIF(D71:S71,"a")+COUNTIF(D71:S71,"s")</f>
        <v>0</v>
      </c>
      <c r="V71" s="294"/>
    </row>
    <row r="72" spans="1:22" ht="30" customHeight="1" thickBot="1" x14ac:dyDescent="0.25">
      <c r="A72" s="408"/>
      <c r="B72" s="316" t="s">
        <v>199</v>
      </c>
      <c r="C72" s="149" t="s">
        <v>729</v>
      </c>
      <c r="D72" s="550" t="s">
        <v>661</v>
      </c>
      <c r="E72" s="549"/>
      <c r="F72" s="379"/>
      <c r="G72" s="99"/>
      <c r="H72" s="550" t="s">
        <v>661</v>
      </c>
      <c r="I72" s="549"/>
      <c r="J72" s="379"/>
      <c r="K72" s="99"/>
      <c r="L72" s="550"/>
      <c r="M72" s="549"/>
      <c r="N72" s="379"/>
      <c r="O72" s="549"/>
      <c r="P72" s="99"/>
      <c r="Q72" s="549"/>
      <c r="R72" s="550"/>
      <c r="S72" s="552"/>
      <c r="T72" s="439"/>
    </row>
    <row r="73" spans="1:22" ht="30" customHeight="1" x14ac:dyDescent="0.45">
      <c r="A73" s="421"/>
      <c r="B73" s="321"/>
      <c r="C73" s="159" t="s">
        <v>1295</v>
      </c>
      <c r="D73" s="934"/>
      <c r="E73" s="935"/>
      <c r="F73" s="936"/>
      <c r="G73" s="936"/>
      <c r="H73" s="936"/>
      <c r="I73" s="936"/>
      <c r="J73" s="936"/>
      <c r="K73" s="936"/>
      <c r="L73" s="936"/>
      <c r="M73" s="936"/>
      <c r="N73" s="936"/>
      <c r="O73" s="936"/>
      <c r="P73" s="936"/>
      <c r="Q73" s="936"/>
      <c r="R73" s="936"/>
      <c r="S73" s="936"/>
      <c r="T73" s="937"/>
    </row>
    <row r="74" spans="1:22" ht="45" customHeight="1" x14ac:dyDescent="0.2">
      <c r="A74" s="421"/>
      <c r="B74" s="325" t="s">
        <v>194</v>
      </c>
      <c r="C74" s="134" t="s">
        <v>1274</v>
      </c>
      <c r="D74" s="909"/>
      <c r="E74" s="910"/>
      <c r="F74" s="909"/>
      <c r="G74" s="910"/>
      <c r="H74" s="909"/>
      <c r="I74" s="910"/>
      <c r="J74" s="909"/>
      <c r="K74" s="910"/>
      <c r="L74" s="909"/>
      <c r="M74" s="910"/>
      <c r="N74" s="909"/>
      <c r="O74" s="910"/>
      <c r="P74" s="909"/>
      <c r="Q74" s="910"/>
      <c r="R74" s="909"/>
      <c r="S74" s="915"/>
      <c r="T74" s="72"/>
      <c r="U74" s="62">
        <f>IF((COUNTIF(D74:S74,"a")+COUNTIF(D74:S74,"s")+COUNTIF(T74,"na"))&gt;0,IF(OR((COUNTIF(D78:S78,"a")+COUNTIF(D78:S78,"s")),(COUNTIF(D79:S79,"a")+COUNTIF(D79:S79,"s")),(COUNTIF(D80:S80,"a")+COUNTIF(D80:S80,"s")),(COUNTIF(D81:S81,"a")+COUNTIF(D81:S81,"s"))),0,COUNTIF(D74:S74,"a")+COUNTIF(D74:S74,"s")+COUNTIF(T74,"na")),COUNTIF(D74:S74,"a")+COUNTIF(D74:S74,"s")+COUNTIF(T74,"na"))</f>
        <v>0</v>
      </c>
      <c r="V74" s="294"/>
    </row>
    <row r="75" spans="1:22" ht="67.7" customHeight="1" x14ac:dyDescent="0.2">
      <c r="A75" s="421"/>
      <c r="B75" s="319" t="s">
        <v>195</v>
      </c>
      <c r="C75" s="139" t="s">
        <v>1277</v>
      </c>
      <c r="D75" s="909"/>
      <c r="E75" s="910"/>
      <c r="F75" s="909"/>
      <c r="G75" s="910"/>
      <c r="H75" s="909"/>
      <c r="I75" s="910"/>
      <c r="J75" s="909"/>
      <c r="K75" s="910"/>
      <c r="L75" s="909"/>
      <c r="M75" s="910"/>
      <c r="N75" s="909"/>
      <c r="O75" s="910"/>
      <c r="P75" s="909"/>
      <c r="Q75" s="910"/>
      <c r="R75" s="909"/>
      <c r="S75" s="915"/>
      <c r="T75" s="72"/>
      <c r="U75" s="62">
        <f>IF((COUNTIF(D75:S75,"a")+COUNTIF(D75:S75,"s")+COUNTIF(T75,"na"))&gt;0,IF(OR((COUNTIF(D78:S78,"a")+COUNTIF(D78:S78,"s")),(COUNTIF(D79:S79,"a")+COUNTIF(D79:S79,"s")),(COUNTIF(D80:S80,"a")+COUNTIF(D80:S80,"s")),(COUNTIF(D81:S81,"a")+COUNTIF(D81:S81,"s"))),0,COUNTIF(D75:S75,"a")+COUNTIF(D75:S75,"s")+COUNTIF(T75,"na")),COUNTIF(D75:S75,"a")+COUNTIF(D75:S75,"s")+COUNTIF(T75,"na"))</f>
        <v>0</v>
      </c>
      <c r="V75" s="294"/>
    </row>
    <row r="76" spans="1:22" ht="27.95" customHeight="1" x14ac:dyDescent="0.2">
      <c r="A76" s="421"/>
      <c r="B76" s="319" t="s">
        <v>938</v>
      </c>
      <c r="C76" s="134" t="s">
        <v>976</v>
      </c>
      <c r="D76" s="909"/>
      <c r="E76" s="910"/>
      <c r="F76" s="909"/>
      <c r="G76" s="910"/>
      <c r="H76" s="909"/>
      <c r="I76" s="910"/>
      <c r="J76" s="909"/>
      <c r="K76" s="910"/>
      <c r="L76" s="909"/>
      <c r="M76" s="910"/>
      <c r="N76" s="909"/>
      <c r="O76" s="910"/>
      <c r="P76" s="909"/>
      <c r="Q76" s="910"/>
      <c r="R76" s="909"/>
      <c r="S76" s="915"/>
      <c r="T76" s="72"/>
      <c r="U76" s="62">
        <f>IF((COUNTIF(D76:S76,"a")+COUNTIF(D76:S76,"s")+COUNTIF(T76,"na"))&gt;0,IF(OR((COUNTIF(D79:S79,"a")+COUNTIF(D79:S79,"s")),(COUNTIF(D80:S80,"a")+COUNTIF(D80:S80,"s")),(COUNTIF(D81:S81,"a")+COUNTIF(D81:S81,"s")),(COUNTIF(D78:S78,"a")+COUNTIF(D78:S78,"s"))),0,COUNTIF(D76:S76,"a")+COUNTIF(D76:S76,"s")+COUNTIF(T76,"na")),COUNTIF(D76:S76,"a")+COUNTIF(D76:S76,"s")+COUNTIF(T76,"na"))</f>
        <v>0</v>
      </c>
      <c r="V76" s="294"/>
    </row>
    <row r="77" spans="1:22" ht="45" customHeight="1" x14ac:dyDescent="0.3">
      <c r="A77" s="421"/>
      <c r="B77" s="321"/>
      <c r="C77" s="160" t="s">
        <v>1294</v>
      </c>
      <c r="D77" s="916"/>
      <c r="E77" s="917"/>
      <c r="F77" s="918"/>
      <c r="G77" s="918"/>
      <c r="H77" s="918"/>
      <c r="I77" s="918"/>
      <c r="J77" s="918"/>
      <c r="K77" s="918"/>
      <c r="L77" s="918"/>
      <c r="M77" s="918"/>
      <c r="N77" s="918"/>
      <c r="O77" s="918"/>
      <c r="P77" s="918"/>
      <c r="Q77" s="918"/>
      <c r="R77" s="918"/>
      <c r="S77" s="918"/>
      <c r="T77" s="919"/>
    </row>
    <row r="78" spans="1:22" ht="45" customHeight="1" x14ac:dyDescent="0.2">
      <c r="A78" s="421"/>
      <c r="B78" s="319" t="s">
        <v>194</v>
      </c>
      <c r="C78" s="134" t="s">
        <v>1275</v>
      </c>
      <c r="D78" s="909"/>
      <c r="E78" s="910"/>
      <c r="F78" s="909"/>
      <c r="G78" s="910"/>
      <c r="H78" s="909"/>
      <c r="I78" s="910"/>
      <c r="J78" s="909"/>
      <c r="K78" s="910"/>
      <c r="L78" s="909"/>
      <c r="M78" s="910"/>
      <c r="N78" s="909"/>
      <c r="O78" s="910"/>
      <c r="P78" s="909"/>
      <c r="Q78" s="910"/>
      <c r="R78" s="909"/>
      <c r="S78" s="915"/>
      <c r="T78" s="72"/>
      <c r="U78" s="62">
        <f>IF((COUNTIF(D78:S78,"a")+COUNTIF(D78:S78,"s")+COUNTIF(T78,"na"))&gt;0,IF(OR((COUNTIF(D74:S74,"a")+COUNTIF(D74:S74,"s")),(COUNTIF(D75:S75,"a")+COUNTIF(D75:S75,"s")),(COUNTIF(D76:S76,"a")+COUNTIF(D76:S76,"s"))),0,COUNTIF(D78:S78,"a")+COUNTIF(D78:S78,"s")+COUNTIF(T78,"na")),COUNTIF(D78:S78,"a")+COUNTIF(D78:S78,"s")+COUNTIF(T78,"na"))</f>
        <v>0</v>
      </c>
      <c r="V78" s="294"/>
    </row>
    <row r="79" spans="1:22" ht="45" customHeight="1" x14ac:dyDescent="0.2">
      <c r="A79" s="421"/>
      <c r="B79" s="319" t="s">
        <v>939</v>
      </c>
      <c r="C79" s="134" t="s">
        <v>434</v>
      </c>
      <c r="D79" s="909"/>
      <c r="E79" s="910"/>
      <c r="F79" s="909"/>
      <c r="G79" s="910"/>
      <c r="H79" s="909"/>
      <c r="I79" s="910"/>
      <c r="J79" s="909"/>
      <c r="K79" s="910"/>
      <c r="L79" s="909"/>
      <c r="M79" s="910"/>
      <c r="N79" s="909"/>
      <c r="O79" s="910"/>
      <c r="P79" s="909"/>
      <c r="Q79" s="910"/>
      <c r="R79" s="909"/>
      <c r="S79" s="915"/>
      <c r="T79" s="72"/>
      <c r="U79" s="62">
        <f>IF((COUNTIF(D79:S79,"a")+COUNTIF(D79:S79,"s")+COUNTIF(T79,"na"))&gt;0,IF(OR((COUNTIF(D75:S75,"a")+COUNTIF(D75:S75,"s")),(COUNTIF(D76:S76,"a")+COUNTIF(D76:S76,"s")),(COUNTIF(D74:S74,"a")+COUNTIF(D74:S74,"s"))),0,COUNTIF(D79:S79,"a")+COUNTIF(D79:S79,"s")+COUNTIF(T79,"na")),COUNTIF(D79:S79,"a")+COUNTIF(D79:S79,"s")+COUNTIF(T79,"na"))</f>
        <v>0</v>
      </c>
      <c r="V79" s="294"/>
    </row>
    <row r="80" spans="1:22" ht="67.7" customHeight="1" x14ac:dyDescent="0.2">
      <c r="A80" s="421"/>
      <c r="B80" s="319" t="s">
        <v>195</v>
      </c>
      <c r="C80" s="137" t="s">
        <v>1276</v>
      </c>
      <c r="D80" s="909"/>
      <c r="E80" s="910"/>
      <c r="F80" s="909"/>
      <c r="G80" s="910"/>
      <c r="H80" s="909"/>
      <c r="I80" s="910"/>
      <c r="J80" s="909"/>
      <c r="K80" s="910"/>
      <c r="L80" s="909"/>
      <c r="M80" s="910"/>
      <c r="N80" s="909"/>
      <c r="O80" s="910"/>
      <c r="P80" s="909"/>
      <c r="Q80" s="910"/>
      <c r="R80" s="909"/>
      <c r="S80" s="915"/>
      <c r="T80" s="72"/>
      <c r="U80" s="62">
        <f>IF((COUNTIF(D80:S80,"a")+COUNTIF(D80:S80,"s")+COUNTIF(T80,"na"))&gt;0,IF(OR((COUNTIF(D76:S76,"a")+COUNTIF(D76:S76,"s")),(COUNTIF(D74:S74,"a")+COUNTIF(D74:S74,"s")),(COUNTIF(D75:S75,"a")+COUNTIF(D75:S75,"s"))),0,COUNTIF(D80:S80,"a")+COUNTIF(D80:S80,"s")+COUNTIF(T80,"na")),COUNTIF(D80:S80,"a")+COUNTIF(D80:S80,"s")+COUNTIF(T80,"na"))</f>
        <v>0</v>
      </c>
      <c r="V80" s="294"/>
    </row>
    <row r="81" spans="1:22" ht="27.95" customHeight="1" thickBot="1" x14ac:dyDescent="0.25">
      <c r="A81" s="421"/>
      <c r="B81" s="325" t="s">
        <v>938</v>
      </c>
      <c r="C81" s="135" t="s">
        <v>814</v>
      </c>
      <c r="D81" s="920"/>
      <c r="E81" s="921"/>
      <c r="F81" s="920"/>
      <c r="G81" s="921"/>
      <c r="H81" s="920"/>
      <c r="I81" s="921"/>
      <c r="J81" s="920"/>
      <c r="K81" s="921"/>
      <c r="L81" s="920"/>
      <c r="M81" s="921"/>
      <c r="N81" s="920"/>
      <c r="O81" s="921"/>
      <c r="P81" s="920"/>
      <c r="Q81" s="921"/>
      <c r="R81" s="920"/>
      <c r="S81" s="931"/>
      <c r="T81" s="526"/>
      <c r="U81" s="62">
        <f>IF((COUNTIF(D81:S81,"a")+COUNTIF(D81:S81,"s")+COUNTIF(T81,"na"))&gt;0,IF(OR((COUNTIF(D74:S74,"a")+COUNTIF(D74:S74,"s")),(COUNTIF(D75:S75,"a")+COUNTIF(D75:S75,"s")),(COUNTIF(D76:S76,"a")+COUNTIF(D76:S76,"s"))),0,COUNTIF(D81:S81,"a")+COUNTIF(D81:S81,"s")+COUNTIF(T81,"na")),COUNTIF(D81:S81,"a")+COUNTIF(D81:S81,"s")+COUNTIF(T81,"na"))</f>
        <v>0</v>
      </c>
      <c r="V81" s="294"/>
    </row>
    <row r="82" spans="1:22" ht="30" customHeight="1" thickBot="1" x14ac:dyDescent="0.25">
      <c r="A82" s="421"/>
      <c r="B82" s="319"/>
      <c r="C82" s="402" t="s">
        <v>1262</v>
      </c>
      <c r="D82" s="26"/>
      <c r="E82" s="35"/>
      <c r="F82" s="36"/>
      <c r="G82" s="37"/>
      <c r="H82" s="26"/>
      <c r="I82" s="35"/>
      <c r="J82" s="36"/>
      <c r="K82" s="37"/>
      <c r="L82" s="26"/>
      <c r="M82" s="35"/>
      <c r="N82" s="36"/>
      <c r="O82" s="35"/>
      <c r="P82" s="37"/>
      <c r="Q82" s="35"/>
      <c r="R82" s="26"/>
      <c r="S82" s="527"/>
      <c r="T82" s="439"/>
    </row>
    <row r="83" spans="1:22" ht="45" customHeight="1" x14ac:dyDescent="0.2">
      <c r="A83" s="421"/>
      <c r="B83" s="325" t="s">
        <v>196</v>
      </c>
      <c r="C83" s="145" t="s">
        <v>1278</v>
      </c>
      <c r="D83" s="922"/>
      <c r="E83" s="923"/>
      <c r="F83" s="922"/>
      <c r="G83" s="923"/>
      <c r="H83" s="922"/>
      <c r="I83" s="923"/>
      <c r="J83" s="922"/>
      <c r="K83" s="923"/>
      <c r="L83" s="922"/>
      <c r="M83" s="923"/>
      <c r="N83" s="922"/>
      <c r="O83" s="923"/>
      <c r="P83" s="922"/>
      <c r="Q83" s="923"/>
      <c r="R83" s="922"/>
      <c r="S83" s="925"/>
      <c r="T83" s="112"/>
      <c r="U83" s="62">
        <f>COUNTIF(D83:S83,"a")+COUNTIF(D83:S83,"s")+COUNTIF(T83,"na")</f>
        <v>0</v>
      </c>
      <c r="V83" s="294"/>
    </row>
    <row r="84" spans="1:22" ht="45" customHeight="1" x14ac:dyDescent="0.2">
      <c r="A84" s="421"/>
      <c r="B84" s="319" t="s">
        <v>197</v>
      </c>
      <c r="C84" s="134" t="s">
        <v>248</v>
      </c>
      <c r="D84" s="909"/>
      <c r="E84" s="910"/>
      <c r="F84" s="909"/>
      <c r="G84" s="910"/>
      <c r="H84" s="909"/>
      <c r="I84" s="910"/>
      <c r="J84" s="909"/>
      <c r="K84" s="910"/>
      <c r="L84" s="909"/>
      <c r="M84" s="910"/>
      <c r="N84" s="909"/>
      <c r="O84" s="910"/>
      <c r="P84" s="909"/>
      <c r="Q84" s="910"/>
      <c r="R84" s="909"/>
      <c r="S84" s="915"/>
      <c r="T84" s="72"/>
      <c r="U84" s="62">
        <f>COUNTIF(D84:S84,"a")+COUNTIF(D84:S84,"s")+COUNTIF(T84,"na")</f>
        <v>0</v>
      </c>
      <c r="V84" s="294"/>
    </row>
    <row r="85" spans="1:22" ht="27.95" customHeight="1" x14ac:dyDescent="0.2">
      <c r="A85" s="421"/>
      <c r="B85" s="319" t="s">
        <v>1096</v>
      </c>
      <c r="C85" s="144" t="s">
        <v>18</v>
      </c>
      <c r="D85" s="909"/>
      <c r="E85" s="910"/>
      <c r="F85" s="909"/>
      <c r="G85" s="910"/>
      <c r="H85" s="909"/>
      <c r="I85" s="910"/>
      <c r="J85" s="909"/>
      <c r="K85" s="910"/>
      <c r="L85" s="909"/>
      <c r="M85" s="910"/>
      <c r="N85" s="909"/>
      <c r="O85" s="910"/>
      <c r="P85" s="909"/>
      <c r="Q85" s="910"/>
      <c r="R85" s="909"/>
      <c r="S85" s="915"/>
      <c r="T85" s="72"/>
      <c r="U85" s="62">
        <f>COUNTIF(D85:S85,"a")+COUNTIF(D85:S85,"s")+COUNTIF(T85,"na")</f>
        <v>0</v>
      </c>
      <c r="V85" s="294"/>
    </row>
    <row r="86" spans="1:22" ht="45" customHeight="1" thickBot="1" x14ac:dyDescent="0.25">
      <c r="A86" s="421"/>
      <c r="B86" s="326" t="s">
        <v>198</v>
      </c>
      <c r="C86" s="148" t="s">
        <v>591</v>
      </c>
      <c r="D86" s="911"/>
      <c r="E86" s="912"/>
      <c r="F86" s="911"/>
      <c r="G86" s="912"/>
      <c r="H86" s="911"/>
      <c r="I86" s="912"/>
      <c r="J86" s="911"/>
      <c r="K86" s="912"/>
      <c r="L86" s="911"/>
      <c r="M86" s="912"/>
      <c r="N86" s="911"/>
      <c r="O86" s="912"/>
      <c r="P86" s="911"/>
      <c r="Q86" s="912"/>
      <c r="R86" s="911"/>
      <c r="S86" s="914"/>
      <c r="T86" s="72"/>
      <c r="U86" s="62">
        <f>COUNTIF(D86:S86,"a")+COUNTIF(D86:S86,"s")+COUNTIF(T86,"na")</f>
        <v>0</v>
      </c>
      <c r="V86" s="294"/>
    </row>
    <row r="87" spans="1:22" ht="30" customHeight="1" thickBot="1" x14ac:dyDescent="0.25">
      <c r="A87" s="421"/>
      <c r="B87" s="330" t="s">
        <v>1186</v>
      </c>
      <c r="C87" s="402" t="s">
        <v>1187</v>
      </c>
      <c r="D87" s="26"/>
      <c r="E87" s="35"/>
      <c r="F87" s="26"/>
      <c r="G87" s="37"/>
      <c r="H87" s="26"/>
      <c r="I87" s="35"/>
      <c r="J87" s="36"/>
      <c r="K87" s="37"/>
      <c r="L87" s="26"/>
      <c r="M87" s="35"/>
      <c r="N87" s="36"/>
      <c r="O87" s="35"/>
      <c r="P87" s="37"/>
      <c r="Q87" s="35"/>
      <c r="R87" s="26"/>
      <c r="S87" s="51"/>
      <c r="T87" s="434"/>
    </row>
    <row r="88" spans="1:22" ht="48" customHeight="1" x14ac:dyDescent="0.3">
      <c r="A88" s="421"/>
      <c r="B88" s="535"/>
      <c r="C88" s="560" t="s">
        <v>1342</v>
      </c>
      <c r="D88" s="939"/>
      <c r="E88" s="940"/>
      <c r="F88" s="940"/>
      <c r="G88" s="940"/>
      <c r="H88" s="940"/>
      <c r="I88" s="940"/>
      <c r="J88" s="940"/>
      <c r="K88" s="940"/>
      <c r="L88" s="940"/>
      <c r="M88" s="940"/>
      <c r="N88" s="940"/>
      <c r="O88" s="940"/>
      <c r="P88" s="940"/>
      <c r="Q88" s="940"/>
      <c r="R88" s="940"/>
      <c r="S88" s="940"/>
      <c r="T88" s="941"/>
    </row>
    <row r="89" spans="1:22" ht="27.95" customHeight="1" x14ac:dyDescent="0.2">
      <c r="A89" s="421"/>
      <c r="B89" s="310" t="s">
        <v>1188</v>
      </c>
      <c r="C89" s="136" t="s">
        <v>1200</v>
      </c>
      <c r="D89" s="922"/>
      <c r="E89" s="923"/>
      <c r="F89" s="922"/>
      <c r="G89" s="923"/>
      <c r="H89" s="922"/>
      <c r="I89" s="923"/>
      <c r="J89" s="922"/>
      <c r="K89" s="923"/>
      <c r="L89" s="922"/>
      <c r="M89" s="923"/>
      <c r="N89" s="922"/>
      <c r="O89" s="923"/>
      <c r="P89" s="922"/>
      <c r="Q89" s="923"/>
      <c r="R89" s="922"/>
      <c r="S89" s="925"/>
      <c r="T89" s="112"/>
      <c r="U89" s="62">
        <f>COUNTIF(D89:S89,"a")+COUNTIF(D89:S89,"s")+COUNTIF(T89,"na")</f>
        <v>0</v>
      </c>
      <c r="V89" s="294"/>
    </row>
    <row r="90" spans="1:22" ht="45" customHeight="1" thickBot="1" x14ac:dyDescent="0.25">
      <c r="A90" s="411"/>
      <c r="B90" s="326" t="s">
        <v>1189</v>
      </c>
      <c r="C90" s="385" t="s">
        <v>1201</v>
      </c>
      <c r="D90" s="911"/>
      <c r="E90" s="912"/>
      <c r="F90" s="911"/>
      <c r="G90" s="912"/>
      <c r="H90" s="911"/>
      <c r="I90" s="912"/>
      <c r="J90" s="911"/>
      <c r="K90" s="912"/>
      <c r="L90" s="911"/>
      <c r="M90" s="912"/>
      <c r="N90" s="911"/>
      <c r="O90" s="912"/>
      <c r="P90" s="911"/>
      <c r="Q90" s="912"/>
      <c r="R90" s="911"/>
      <c r="S90" s="914"/>
      <c r="T90" s="412"/>
      <c r="U90" s="62">
        <f>COUNTIF(D90:S90,"a")+COUNTIF(D90:S90,"s")</f>
        <v>0</v>
      </c>
      <c r="V90" s="294"/>
    </row>
    <row r="91" spans="1:22" ht="33" customHeight="1" thickBot="1" x14ac:dyDescent="0.35">
      <c r="A91" s="408"/>
      <c r="B91" s="553">
        <v>300</v>
      </c>
      <c r="C91" s="734" t="s">
        <v>1013</v>
      </c>
      <c r="D91" s="735"/>
      <c r="E91" s="735"/>
      <c r="F91" s="735"/>
      <c r="G91" s="735"/>
      <c r="H91" s="735"/>
      <c r="I91" s="735"/>
      <c r="J91" s="735"/>
      <c r="K91" s="735"/>
      <c r="L91" s="735"/>
      <c r="M91" s="735"/>
      <c r="N91" s="735"/>
      <c r="O91" s="735"/>
      <c r="P91" s="735"/>
      <c r="Q91" s="735"/>
      <c r="R91" s="735"/>
      <c r="S91" s="735"/>
      <c r="T91" s="913"/>
    </row>
    <row r="92" spans="1:22" ht="30" customHeight="1" thickBot="1" x14ac:dyDescent="0.25">
      <c r="A92" s="421"/>
      <c r="B92" s="322">
        <v>301</v>
      </c>
      <c r="C92" s="402" t="s">
        <v>1057</v>
      </c>
      <c r="D92" s="26" t="s">
        <v>661</v>
      </c>
      <c r="E92" s="35"/>
      <c r="F92" s="36" t="s">
        <v>661</v>
      </c>
      <c r="G92" s="37"/>
      <c r="H92" s="26"/>
      <c r="I92" s="35"/>
      <c r="J92" s="36"/>
      <c r="K92" s="37"/>
      <c r="L92" s="26"/>
      <c r="M92" s="35"/>
      <c r="N92" s="36"/>
      <c r="O92" s="35"/>
      <c r="P92" s="37"/>
      <c r="Q92" s="35"/>
      <c r="R92" s="26"/>
      <c r="S92" s="51"/>
      <c r="T92" s="434"/>
    </row>
    <row r="93" spans="1:22" ht="27.95" customHeight="1" thickBot="1" x14ac:dyDescent="0.25">
      <c r="A93" s="421"/>
      <c r="B93" s="322" t="s">
        <v>562</v>
      </c>
      <c r="C93" s="161" t="s">
        <v>829</v>
      </c>
      <c r="D93" s="907"/>
      <c r="E93" s="908"/>
      <c r="F93" s="907"/>
      <c r="G93" s="908"/>
      <c r="H93" s="907"/>
      <c r="I93" s="908"/>
      <c r="J93" s="907"/>
      <c r="K93" s="908"/>
      <c r="L93" s="907"/>
      <c r="M93" s="908"/>
      <c r="N93" s="907"/>
      <c r="O93" s="908"/>
      <c r="P93" s="907"/>
      <c r="Q93" s="908"/>
      <c r="R93" s="907"/>
      <c r="S93" s="924"/>
      <c r="T93" s="408"/>
      <c r="U93" s="62">
        <f>COUNTIF(D93:S93,"a")+COUNTIF(D93:S93,"s")</f>
        <v>0</v>
      </c>
      <c r="V93" s="294"/>
    </row>
    <row r="94" spans="1:22" ht="30" customHeight="1" thickBot="1" x14ac:dyDescent="0.25">
      <c r="A94" s="421"/>
      <c r="B94" s="330">
        <v>310</v>
      </c>
      <c r="C94" s="402" t="s">
        <v>730</v>
      </c>
      <c r="D94" s="26" t="s">
        <v>661</v>
      </c>
      <c r="E94" s="35"/>
      <c r="F94" s="26" t="s">
        <v>661</v>
      </c>
      <c r="G94" s="37"/>
      <c r="H94" s="26" t="s">
        <v>661</v>
      </c>
      <c r="I94" s="35"/>
      <c r="J94" s="36" t="s">
        <v>661</v>
      </c>
      <c r="K94" s="37"/>
      <c r="L94" s="26" t="s">
        <v>661</v>
      </c>
      <c r="M94" s="35"/>
      <c r="N94" s="36" t="s">
        <v>661</v>
      </c>
      <c r="O94" s="35"/>
      <c r="P94" s="37" t="s">
        <v>661</v>
      </c>
      <c r="Q94" s="35"/>
      <c r="R94" s="26" t="s">
        <v>661</v>
      </c>
      <c r="S94" s="51"/>
      <c r="T94" s="434"/>
    </row>
    <row r="95" spans="1:22" ht="27.95" customHeight="1" x14ac:dyDescent="0.2">
      <c r="A95" s="421"/>
      <c r="B95" s="310" t="s">
        <v>830</v>
      </c>
      <c r="C95" s="136" t="s">
        <v>430</v>
      </c>
      <c r="D95" s="928"/>
      <c r="E95" s="930"/>
      <c r="F95" s="928"/>
      <c r="G95" s="930"/>
      <c r="H95" s="928"/>
      <c r="I95" s="930"/>
      <c r="J95" s="928"/>
      <c r="K95" s="930"/>
      <c r="L95" s="928"/>
      <c r="M95" s="930"/>
      <c r="N95" s="928"/>
      <c r="O95" s="930"/>
      <c r="P95" s="928"/>
      <c r="Q95" s="930"/>
      <c r="R95" s="928"/>
      <c r="S95" s="929"/>
      <c r="T95" s="408"/>
      <c r="U95" s="62">
        <f t="shared" ref="U95:U101" si="2">COUNTIF(D95:S95,"a")+COUNTIF(D95:S95,"s")</f>
        <v>0</v>
      </c>
      <c r="V95" s="294"/>
    </row>
    <row r="96" spans="1:22" ht="27.95" customHeight="1" x14ac:dyDescent="0.2">
      <c r="A96" s="421"/>
      <c r="B96" s="319" t="s">
        <v>819</v>
      </c>
      <c r="C96" s="137" t="s">
        <v>734</v>
      </c>
      <c r="D96" s="909"/>
      <c r="E96" s="910"/>
      <c r="F96" s="909"/>
      <c r="G96" s="910"/>
      <c r="H96" s="909"/>
      <c r="I96" s="910"/>
      <c r="J96" s="909"/>
      <c r="K96" s="910"/>
      <c r="L96" s="909"/>
      <c r="M96" s="910"/>
      <c r="N96" s="909"/>
      <c r="O96" s="910"/>
      <c r="P96" s="909"/>
      <c r="Q96" s="910"/>
      <c r="R96" s="909"/>
      <c r="S96" s="915"/>
      <c r="T96" s="408"/>
      <c r="U96" s="62">
        <f t="shared" si="2"/>
        <v>0</v>
      </c>
      <c r="V96" s="294"/>
    </row>
    <row r="97" spans="1:22" ht="27.95" customHeight="1" x14ac:dyDescent="0.2">
      <c r="A97" s="421"/>
      <c r="B97" s="325" t="s">
        <v>820</v>
      </c>
      <c r="C97" s="144" t="s">
        <v>635</v>
      </c>
      <c r="D97" s="909"/>
      <c r="E97" s="910"/>
      <c r="F97" s="909"/>
      <c r="G97" s="910"/>
      <c r="H97" s="909"/>
      <c r="I97" s="910"/>
      <c r="J97" s="909"/>
      <c r="K97" s="910"/>
      <c r="L97" s="909"/>
      <c r="M97" s="910"/>
      <c r="N97" s="909"/>
      <c r="O97" s="910"/>
      <c r="P97" s="909"/>
      <c r="Q97" s="910"/>
      <c r="R97" s="909"/>
      <c r="S97" s="915"/>
      <c r="T97" s="408"/>
      <c r="U97" s="62">
        <f t="shared" si="2"/>
        <v>0</v>
      </c>
      <c r="V97" s="294"/>
    </row>
    <row r="98" spans="1:22" ht="27.95" customHeight="1" x14ac:dyDescent="0.2">
      <c r="A98" s="421"/>
      <c r="B98" s="319" t="s">
        <v>629</v>
      </c>
      <c r="C98" s="155" t="s">
        <v>512</v>
      </c>
      <c r="D98" s="909"/>
      <c r="E98" s="910"/>
      <c r="F98" s="909"/>
      <c r="G98" s="910"/>
      <c r="H98" s="909"/>
      <c r="I98" s="910"/>
      <c r="J98" s="909"/>
      <c r="K98" s="910"/>
      <c r="L98" s="909"/>
      <c r="M98" s="910"/>
      <c r="N98" s="909"/>
      <c r="O98" s="910"/>
      <c r="P98" s="909"/>
      <c r="Q98" s="910"/>
      <c r="R98" s="909"/>
      <c r="S98" s="915"/>
      <c r="T98" s="408"/>
      <c r="U98" s="62">
        <f t="shared" si="2"/>
        <v>0</v>
      </c>
      <c r="V98" s="294"/>
    </row>
    <row r="99" spans="1:22" ht="27.95" customHeight="1" x14ac:dyDescent="0.2">
      <c r="A99" s="421"/>
      <c r="B99" s="319" t="s">
        <v>630</v>
      </c>
      <c r="C99" s="144" t="s">
        <v>949</v>
      </c>
      <c r="D99" s="909"/>
      <c r="E99" s="910"/>
      <c r="F99" s="909"/>
      <c r="G99" s="910"/>
      <c r="H99" s="909"/>
      <c r="I99" s="910"/>
      <c r="J99" s="909"/>
      <c r="K99" s="910"/>
      <c r="L99" s="909"/>
      <c r="M99" s="910"/>
      <c r="N99" s="909"/>
      <c r="O99" s="910"/>
      <c r="P99" s="909"/>
      <c r="Q99" s="910"/>
      <c r="R99" s="909"/>
      <c r="S99" s="915"/>
      <c r="T99" s="408"/>
      <c r="U99" s="62">
        <f t="shared" si="2"/>
        <v>0</v>
      </c>
      <c r="V99" s="294"/>
    </row>
    <row r="100" spans="1:22" ht="27.95" customHeight="1" x14ac:dyDescent="0.2">
      <c r="A100" s="421"/>
      <c r="B100" s="319" t="s">
        <v>631</v>
      </c>
      <c r="C100" s="144" t="s">
        <v>990</v>
      </c>
      <c r="D100" s="909"/>
      <c r="E100" s="910"/>
      <c r="F100" s="909"/>
      <c r="G100" s="910"/>
      <c r="H100" s="909"/>
      <c r="I100" s="910"/>
      <c r="J100" s="909"/>
      <c r="K100" s="910"/>
      <c r="L100" s="909"/>
      <c r="M100" s="910"/>
      <c r="N100" s="909"/>
      <c r="O100" s="910"/>
      <c r="P100" s="909"/>
      <c r="Q100" s="910"/>
      <c r="R100" s="909"/>
      <c r="S100" s="915"/>
      <c r="T100" s="408"/>
      <c r="U100" s="62">
        <f t="shared" si="2"/>
        <v>0</v>
      </c>
      <c r="V100" s="294"/>
    </row>
    <row r="101" spans="1:22" ht="45" customHeight="1" thickBot="1" x14ac:dyDescent="0.25">
      <c r="A101" s="421"/>
      <c r="B101" s="319" t="s">
        <v>991</v>
      </c>
      <c r="C101" s="134" t="s">
        <v>952</v>
      </c>
      <c r="D101" s="911"/>
      <c r="E101" s="912"/>
      <c r="F101" s="911"/>
      <c r="G101" s="912"/>
      <c r="H101" s="911"/>
      <c r="I101" s="912"/>
      <c r="J101" s="911"/>
      <c r="K101" s="912"/>
      <c r="L101" s="911"/>
      <c r="M101" s="912"/>
      <c r="N101" s="911"/>
      <c r="O101" s="912"/>
      <c r="P101" s="911"/>
      <c r="Q101" s="912"/>
      <c r="R101" s="911"/>
      <c r="S101" s="914"/>
      <c r="T101" s="408"/>
      <c r="U101" s="62">
        <f t="shared" si="2"/>
        <v>0</v>
      </c>
      <c r="V101" s="294"/>
    </row>
    <row r="102" spans="1:22" ht="30" customHeight="1" thickBot="1" x14ac:dyDescent="0.25">
      <c r="A102" s="421"/>
      <c r="B102" s="330" t="s">
        <v>957</v>
      </c>
      <c r="C102" s="402" t="s">
        <v>1014</v>
      </c>
      <c r="D102" s="26" t="s">
        <v>661</v>
      </c>
      <c r="E102" s="35"/>
      <c r="F102" s="36" t="s">
        <v>661</v>
      </c>
      <c r="G102" s="35"/>
      <c r="H102" s="36" t="s">
        <v>661</v>
      </c>
      <c r="I102" s="35"/>
      <c r="J102" s="36" t="s">
        <v>661</v>
      </c>
      <c r="K102" s="37"/>
      <c r="L102" s="26" t="s">
        <v>661</v>
      </c>
      <c r="M102" s="35"/>
      <c r="N102" s="36" t="s">
        <v>661</v>
      </c>
      <c r="O102" s="35"/>
      <c r="P102" s="37" t="s">
        <v>661</v>
      </c>
      <c r="Q102" s="35"/>
      <c r="R102" s="26" t="s">
        <v>661</v>
      </c>
      <c r="S102" s="51"/>
      <c r="T102" s="434"/>
    </row>
    <row r="103" spans="1:22" ht="45" customHeight="1" x14ac:dyDescent="0.2">
      <c r="A103" s="421"/>
      <c r="B103" s="310" t="s">
        <v>117</v>
      </c>
      <c r="C103" s="136" t="s">
        <v>1671</v>
      </c>
      <c r="D103" s="928"/>
      <c r="E103" s="930"/>
      <c r="F103" s="928"/>
      <c r="G103" s="930"/>
      <c r="H103" s="928"/>
      <c r="I103" s="930"/>
      <c r="J103" s="928"/>
      <c r="K103" s="930"/>
      <c r="L103" s="928"/>
      <c r="M103" s="930"/>
      <c r="N103" s="928"/>
      <c r="O103" s="930"/>
      <c r="P103" s="928"/>
      <c r="Q103" s="930"/>
      <c r="R103" s="928"/>
      <c r="S103" s="929"/>
      <c r="T103" s="408"/>
      <c r="U103" s="62">
        <f>COUNTIF(D103:S103,"a")+COUNTIF(D103:S103,"s")</f>
        <v>0</v>
      </c>
      <c r="V103" s="294"/>
    </row>
    <row r="104" spans="1:22" ht="27.95" customHeight="1" thickBot="1" x14ac:dyDescent="0.25">
      <c r="A104" s="421"/>
      <c r="B104" s="319" t="s">
        <v>992</v>
      </c>
      <c r="C104" s="139" t="s">
        <v>1220</v>
      </c>
      <c r="D104" s="909"/>
      <c r="E104" s="910"/>
      <c r="F104" s="909"/>
      <c r="G104" s="910"/>
      <c r="H104" s="909"/>
      <c r="I104" s="910"/>
      <c r="J104" s="909"/>
      <c r="K104" s="910"/>
      <c r="L104" s="909"/>
      <c r="M104" s="910"/>
      <c r="N104" s="909"/>
      <c r="O104" s="910"/>
      <c r="P104" s="909"/>
      <c r="Q104" s="910"/>
      <c r="R104" s="909"/>
      <c r="S104" s="915"/>
      <c r="T104" s="408"/>
      <c r="U104" s="62">
        <f>COUNTIF(D104:S104,"a")+COUNTIF(D104:S104,"s")</f>
        <v>0</v>
      </c>
      <c r="V104" s="294"/>
    </row>
    <row r="105" spans="1:22" s="62" customFormat="1" ht="33" customHeight="1" thickBot="1" x14ac:dyDescent="0.25">
      <c r="A105" s="433"/>
      <c r="B105" s="331" t="s">
        <v>956</v>
      </c>
      <c r="C105" s="141" t="s">
        <v>731</v>
      </c>
      <c r="D105" s="102" t="s">
        <v>661</v>
      </c>
      <c r="E105" s="103"/>
      <c r="F105" s="104"/>
      <c r="G105" s="105"/>
      <c r="H105" s="102"/>
      <c r="I105" s="103"/>
      <c r="J105" s="104"/>
      <c r="K105" s="105"/>
      <c r="L105" s="102"/>
      <c r="M105" s="103"/>
      <c r="N105" s="104"/>
      <c r="O105" s="103"/>
      <c r="P105" s="105"/>
      <c r="Q105" s="103"/>
      <c r="R105" s="102"/>
      <c r="S105" s="106"/>
      <c r="T105" s="434"/>
    </row>
    <row r="106" spans="1:22" s="62" customFormat="1" ht="61.5" thickBot="1" x14ac:dyDescent="0.25">
      <c r="A106" s="411"/>
      <c r="B106" s="435" t="s">
        <v>514</v>
      </c>
      <c r="C106" s="436" t="s">
        <v>515</v>
      </c>
      <c r="D106" s="907"/>
      <c r="E106" s="908"/>
      <c r="F106" s="907"/>
      <c r="G106" s="908"/>
      <c r="H106" s="907"/>
      <c r="I106" s="908"/>
      <c r="J106" s="907"/>
      <c r="K106" s="908"/>
      <c r="L106" s="907"/>
      <c r="M106" s="908"/>
      <c r="N106" s="907"/>
      <c r="O106" s="908"/>
      <c r="P106" s="907"/>
      <c r="Q106" s="908"/>
      <c r="R106" s="907"/>
      <c r="S106" s="908"/>
      <c r="T106" s="432"/>
      <c r="U106" s="62">
        <f>COUNTIF(D106:S106,"a")+COUNTIF(D106:S106,"s")</f>
        <v>0</v>
      </c>
      <c r="V106" s="294"/>
    </row>
  </sheetData>
  <sheetProtection algorithmName="SHA-512" hashValue="PofRWnlT60b92put49yWRAc3Ttilvwz68jGkEuqBJJplP+pTlbXBY3roRnMQHrehnVi5e1fqGuusg3X7IJcBZA==" saltValue="Qt51TlOm2KsmXcyU1i1srA==" spinCount="100000" sheet="1" objects="1" scenarios="1"/>
  <mergeCells count="592">
    <mergeCell ref="D88:T88"/>
    <mergeCell ref="P89:Q89"/>
    <mergeCell ref="R89:S89"/>
    <mergeCell ref="D90:E90"/>
    <mergeCell ref="F90:G90"/>
    <mergeCell ref="H90:I90"/>
    <mergeCell ref="J90:K90"/>
    <mergeCell ref="L90:M90"/>
    <mergeCell ref="N90:O90"/>
    <mergeCell ref="P90:Q90"/>
    <mergeCell ref="R90:S90"/>
    <mergeCell ref="D89:E89"/>
    <mergeCell ref="F89:G89"/>
    <mergeCell ref="H89:I89"/>
    <mergeCell ref="J89:K89"/>
    <mergeCell ref="L89:M89"/>
    <mergeCell ref="N89:O89"/>
    <mergeCell ref="R8:S8"/>
    <mergeCell ref="D8:E8"/>
    <mergeCell ref="F8:G8"/>
    <mergeCell ref="H8:I8"/>
    <mergeCell ref="J8:K8"/>
    <mergeCell ref="H20:I20"/>
    <mergeCell ref="F16:G16"/>
    <mergeCell ref="H16:I16"/>
    <mergeCell ref="J17:K17"/>
    <mergeCell ref="R10:S10"/>
    <mergeCell ref="D16:E16"/>
    <mergeCell ref="H13:I13"/>
    <mergeCell ref="D14:E14"/>
    <mergeCell ref="F14:G14"/>
    <mergeCell ref="H14:I14"/>
    <mergeCell ref="J13:K13"/>
    <mergeCell ref="J14:K14"/>
    <mergeCell ref="L13:M13"/>
    <mergeCell ref="D11:E11"/>
    <mergeCell ref="P11:Q11"/>
    <mergeCell ref="F13:G13"/>
    <mergeCell ref="R11:S11"/>
    <mergeCell ref="R14:S14"/>
    <mergeCell ref="R13:S13"/>
    <mergeCell ref="A2:T2"/>
    <mergeCell ref="C4:T4"/>
    <mergeCell ref="D6:E6"/>
    <mergeCell ref="F6:G6"/>
    <mergeCell ref="H6:I6"/>
    <mergeCell ref="J6:K6"/>
    <mergeCell ref="L6:M6"/>
    <mergeCell ref="R6:S6"/>
    <mergeCell ref="P6:Q6"/>
    <mergeCell ref="N6:O6"/>
    <mergeCell ref="L93:M93"/>
    <mergeCell ref="N93:O93"/>
    <mergeCell ref="P93:Q93"/>
    <mergeCell ref="P13:Q13"/>
    <mergeCell ref="L16:M16"/>
    <mergeCell ref="L8:M8"/>
    <mergeCell ref="P8:Q8"/>
    <mergeCell ref="P14:Q14"/>
    <mergeCell ref="N13:O13"/>
    <mergeCell ref="N8:O8"/>
    <mergeCell ref="L66:M66"/>
    <mergeCell ref="L71:M71"/>
    <mergeCell ref="L10:M10"/>
    <mergeCell ref="N10:O10"/>
    <mergeCell ref="P10:Q10"/>
    <mergeCell ref="D73:T73"/>
    <mergeCell ref="D70:E70"/>
    <mergeCell ref="F70:G70"/>
    <mergeCell ref="N71:O71"/>
    <mergeCell ref="P71:Q71"/>
    <mergeCell ref="D71:E71"/>
    <mergeCell ref="F71:G71"/>
    <mergeCell ref="H66:I66"/>
    <mergeCell ref="J66:K66"/>
    <mergeCell ref="F11:G11"/>
    <mergeCell ref="H11:I11"/>
    <mergeCell ref="J11:K11"/>
    <mergeCell ref="L11:M11"/>
    <mergeCell ref="L23:M23"/>
    <mergeCell ref="F17:G17"/>
    <mergeCell ref="H17:I17"/>
    <mergeCell ref="L17:M17"/>
    <mergeCell ref="N17:O17"/>
    <mergeCell ref="F18:G18"/>
    <mergeCell ref="H18:I18"/>
    <mergeCell ref="J16:K16"/>
    <mergeCell ref="J18:K18"/>
    <mergeCell ref="N20:O20"/>
    <mergeCell ref="N19:O19"/>
    <mergeCell ref="N70:O70"/>
    <mergeCell ref="R70:S70"/>
    <mergeCell ref="P70:Q70"/>
    <mergeCell ref="P66:Q66"/>
    <mergeCell ref="L14:M14"/>
    <mergeCell ref="N14:O14"/>
    <mergeCell ref="P16:Q16"/>
    <mergeCell ref="R16:S16"/>
    <mergeCell ref="N18:O18"/>
    <mergeCell ref="N16:O16"/>
    <mergeCell ref="L31:M31"/>
    <mergeCell ref="L70:M70"/>
    <mergeCell ref="N66:O66"/>
    <mergeCell ref="R66:S66"/>
    <mergeCell ref="R22:S22"/>
    <mergeCell ref="L33:M33"/>
    <mergeCell ref="N33:O33"/>
    <mergeCell ref="P33:Q33"/>
    <mergeCell ref="R33:S33"/>
    <mergeCell ref="N22:O22"/>
    <mergeCell ref="P22:Q22"/>
    <mergeCell ref="P47:Q47"/>
    <mergeCell ref="R47:S47"/>
    <mergeCell ref="L47:M47"/>
    <mergeCell ref="C61:T61"/>
    <mergeCell ref="D36:E36"/>
    <mergeCell ref="F36:G36"/>
    <mergeCell ref="H36:I36"/>
    <mergeCell ref="D10:E10"/>
    <mergeCell ref="F10:G10"/>
    <mergeCell ref="H10:I10"/>
    <mergeCell ref="J10:K10"/>
    <mergeCell ref="F22:G22"/>
    <mergeCell ref="F23:G23"/>
    <mergeCell ref="H23:I23"/>
    <mergeCell ref="F19:G19"/>
    <mergeCell ref="H19:I19"/>
    <mergeCell ref="J31:K31"/>
    <mergeCell ref="J23:K23"/>
    <mergeCell ref="D13:E13"/>
    <mergeCell ref="H22:I22"/>
    <mergeCell ref="D20:E20"/>
    <mergeCell ref="F20:G20"/>
    <mergeCell ref="D17:E17"/>
    <mergeCell ref="D31:E31"/>
    <mergeCell ref="N47:O47"/>
    <mergeCell ref="N11:O11"/>
    <mergeCell ref="R18:S18"/>
    <mergeCell ref="H30:I30"/>
    <mergeCell ref="F29:G29"/>
    <mergeCell ref="D30:E30"/>
    <mergeCell ref="F25:G25"/>
    <mergeCell ref="H25:I25"/>
    <mergeCell ref="D26:E26"/>
    <mergeCell ref="F26:G26"/>
    <mergeCell ref="H26:I26"/>
    <mergeCell ref="D27:E27"/>
    <mergeCell ref="F27:G27"/>
    <mergeCell ref="H27:I27"/>
    <mergeCell ref="D18:E18"/>
    <mergeCell ref="H24:I24"/>
    <mergeCell ref="J24:K24"/>
    <mergeCell ref="N28:O28"/>
    <mergeCell ref="L28:M28"/>
    <mergeCell ref="D22:E22"/>
    <mergeCell ref="D19:E19"/>
    <mergeCell ref="D24:E24"/>
    <mergeCell ref="F24:G24"/>
    <mergeCell ref="D23:E23"/>
    <mergeCell ref="P17:Q17"/>
    <mergeCell ref="P18:Q18"/>
    <mergeCell ref="R17:S17"/>
    <mergeCell ref="R19:S19"/>
    <mergeCell ref="P23:Q23"/>
    <mergeCell ref="L18:M18"/>
    <mergeCell ref="D25:E25"/>
    <mergeCell ref="P39:Q39"/>
    <mergeCell ref="R39:S39"/>
    <mergeCell ref="R38:S38"/>
    <mergeCell ref="D37:E37"/>
    <mergeCell ref="F37:G37"/>
    <mergeCell ref="H37:I37"/>
    <mergeCell ref="N24:O24"/>
    <mergeCell ref="L26:M26"/>
    <mergeCell ref="N26:O26"/>
    <mergeCell ref="L24:M24"/>
    <mergeCell ref="P27:Q27"/>
    <mergeCell ref="N23:O23"/>
    <mergeCell ref="L29:M29"/>
    <mergeCell ref="N29:O29"/>
    <mergeCell ref="N30:O30"/>
    <mergeCell ref="L30:M30"/>
    <mergeCell ref="F30:G30"/>
    <mergeCell ref="F45:G45"/>
    <mergeCell ref="H45:I45"/>
    <mergeCell ref="J45:K45"/>
    <mergeCell ref="L45:M45"/>
    <mergeCell ref="H39:I39"/>
    <mergeCell ref="J39:K39"/>
    <mergeCell ref="L39:M39"/>
    <mergeCell ref="D39:E39"/>
    <mergeCell ref="F39:G39"/>
    <mergeCell ref="D45:E45"/>
    <mergeCell ref="F44:G44"/>
    <mergeCell ref="H44:I44"/>
    <mergeCell ref="D44:E44"/>
    <mergeCell ref="D41:E41"/>
    <mergeCell ref="F41:G41"/>
    <mergeCell ref="H41:I41"/>
    <mergeCell ref="J41:K41"/>
    <mergeCell ref="L41:M41"/>
    <mergeCell ref="P45:Q45"/>
    <mergeCell ref="R45:S45"/>
    <mergeCell ref="N42:O42"/>
    <mergeCell ref="N39:O39"/>
    <mergeCell ref="R43:S43"/>
    <mergeCell ref="P42:Q42"/>
    <mergeCell ref="R44:S44"/>
    <mergeCell ref="R42:S42"/>
    <mergeCell ref="J36:K36"/>
    <mergeCell ref="L36:M36"/>
    <mergeCell ref="N36:O36"/>
    <mergeCell ref="N45:O45"/>
    <mergeCell ref="J37:K37"/>
    <mergeCell ref="L37:M37"/>
    <mergeCell ref="N37:O37"/>
    <mergeCell ref="P37:Q37"/>
    <mergeCell ref="R37:S37"/>
    <mergeCell ref="R41:S41"/>
    <mergeCell ref="N44:O44"/>
    <mergeCell ref="J44:K44"/>
    <mergeCell ref="L44:M44"/>
    <mergeCell ref="P44:Q44"/>
    <mergeCell ref="P36:Q36"/>
    <mergeCell ref="R36:S36"/>
    <mergeCell ref="D47:E47"/>
    <mergeCell ref="F47:G47"/>
    <mergeCell ref="H47:I47"/>
    <mergeCell ref="J47:K47"/>
    <mergeCell ref="J48:K48"/>
    <mergeCell ref="H49:I49"/>
    <mergeCell ref="J49:K49"/>
    <mergeCell ref="D48:E48"/>
    <mergeCell ref="F50:G50"/>
    <mergeCell ref="H50:I50"/>
    <mergeCell ref="J50:K50"/>
    <mergeCell ref="F49:G49"/>
    <mergeCell ref="D49:E49"/>
    <mergeCell ref="F48:G48"/>
    <mergeCell ref="H48:I48"/>
    <mergeCell ref="D50:E50"/>
    <mergeCell ref="L55:M55"/>
    <mergeCell ref="N55:O55"/>
    <mergeCell ref="D52:E52"/>
    <mergeCell ref="D55:E55"/>
    <mergeCell ref="N51:O51"/>
    <mergeCell ref="D57:E57"/>
    <mergeCell ref="D51:E51"/>
    <mergeCell ref="F51:G51"/>
    <mergeCell ref="H51:I51"/>
    <mergeCell ref="J51:K51"/>
    <mergeCell ref="L51:M51"/>
    <mergeCell ref="N54:O54"/>
    <mergeCell ref="D54:E54"/>
    <mergeCell ref="F54:G54"/>
    <mergeCell ref="H54:I54"/>
    <mergeCell ref="J54:K54"/>
    <mergeCell ref="F55:G55"/>
    <mergeCell ref="H52:I52"/>
    <mergeCell ref="J52:K52"/>
    <mergeCell ref="F52:G52"/>
    <mergeCell ref="H55:I55"/>
    <mergeCell ref="J55:K55"/>
    <mergeCell ref="P54:Q54"/>
    <mergeCell ref="L52:M52"/>
    <mergeCell ref="N52:O52"/>
    <mergeCell ref="R52:S52"/>
    <mergeCell ref="P48:Q48"/>
    <mergeCell ref="L48:M48"/>
    <mergeCell ref="N48:O48"/>
    <mergeCell ref="R48:S48"/>
    <mergeCell ref="L49:M49"/>
    <mergeCell ref="N49:O49"/>
    <mergeCell ref="P49:Q49"/>
    <mergeCell ref="R49:S49"/>
    <mergeCell ref="L50:M50"/>
    <mergeCell ref="N50:O50"/>
    <mergeCell ref="P50:Q50"/>
    <mergeCell ref="R50:S50"/>
    <mergeCell ref="P51:Q51"/>
    <mergeCell ref="R51:S51"/>
    <mergeCell ref="R56:S56"/>
    <mergeCell ref="P57:Q57"/>
    <mergeCell ref="R57:S57"/>
    <mergeCell ref="R81:S81"/>
    <mergeCell ref="C62:T62"/>
    <mergeCell ref="R71:S71"/>
    <mergeCell ref="R68:S68"/>
    <mergeCell ref="H70:I70"/>
    <mergeCell ref="J70:K70"/>
    <mergeCell ref="D68:E68"/>
    <mergeCell ref="F68:G68"/>
    <mergeCell ref="H68:I68"/>
    <mergeCell ref="J68:K68"/>
    <mergeCell ref="L68:M68"/>
    <mergeCell ref="D60:E60"/>
    <mergeCell ref="F60:G60"/>
    <mergeCell ref="H60:I60"/>
    <mergeCell ref="J60:K60"/>
    <mergeCell ref="D56:E56"/>
    <mergeCell ref="D59:E59"/>
    <mergeCell ref="H71:I71"/>
    <mergeCell ref="P59:Q59"/>
    <mergeCell ref="R59:S59"/>
    <mergeCell ref="L57:M57"/>
    <mergeCell ref="J30:K30"/>
    <mergeCell ref="P30:Q30"/>
    <mergeCell ref="R30:S30"/>
    <mergeCell ref="H29:I29"/>
    <mergeCell ref="J29:K29"/>
    <mergeCell ref="D103:E103"/>
    <mergeCell ref="F103:G103"/>
    <mergeCell ref="H103:I103"/>
    <mergeCell ref="J103:K103"/>
    <mergeCell ref="L103:M103"/>
    <mergeCell ref="N103:O103"/>
    <mergeCell ref="P103:Q103"/>
    <mergeCell ref="R103:S103"/>
    <mergeCell ref="D101:E101"/>
    <mergeCell ref="L101:M101"/>
    <mergeCell ref="N101:O101"/>
    <mergeCell ref="P101:Q101"/>
    <mergeCell ref="F101:G101"/>
    <mergeCell ref="H101:I101"/>
    <mergeCell ref="J101:K101"/>
    <mergeCell ref="R101:S101"/>
    <mergeCell ref="P60:Q60"/>
    <mergeCell ref="R60:S60"/>
    <mergeCell ref="P56:Q56"/>
    <mergeCell ref="R27:S27"/>
    <mergeCell ref="P29:Q29"/>
    <mergeCell ref="R29:S29"/>
    <mergeCell ref="D28:E28"/>
    <mergeCell ref="F28:G28"/>
    <mergeCell ref="H28:I28"/>
    <mergeCell ref="J28:K28"/>
    <mergeCell ref="P28:Q28"/>
    <mergeCell ref="R28:S28"/>
    <mergeCell ref="D29:E29"/>
    <mergeCell ref="D34:E34"/>
    <mergeCell ref="F34:G34"/>
    <mergeCell ref="H34:I34"/>
    <mergeCell ref="J34:K34"/>
    <mergeCell ref="L34:M34"/>
    <mergeCell ref="N34:O34"/>
    <mergeCell ref="P34:Q34"/>
    <mergeCell ref="R34:S34"/>
    <mergeCell ref="P31:Q31"/>
    <mergeCell ref="D33:E33"/>
    <mergeCell ref="F33:G33"/>
    <mergeCell ref="H33:I33"/>
    <mergeCell ref="J33:K33"/>
    <mergeCell ref="N31:O31"/>
    <mergeCell ref="F31:G31"/>
    <mergeCell ref="H31:I31"/>
    <mergeCell ref="R31:S31"/>
    <mergeCell ref="F59:G59"/>
    <mergeCell ref="H59:I59"/>
    <mergeCell ref="N60:O60"/>
    <mergeCell ref="L56:M56"/>
    <mergeCell ref="N56:O56"/>
    <mergeCell ref="L60:M60"/>
    <mergeCell ref="J59:K59"/>
    <mergeCell ref="L59:M59"/>
    <mergeCell ref="N59:O59"/>
    <mergeCell ref="F57:G57"/>
    <mergeCell ref="H57:I57"/>
    <mergeCell ref="J57:K57"/>
    <mergeCell ref="F56:G56"/>
    <mergeCell ref="H56:I56"/>
    <mergeCell ref="J56:K56"/>
    <mergeCell ref="N57:O57"/>
    <mergeCell ref="R104:S104"/>
    <mergeCell ref="R23:S23"/>
    <mergeCell ref="J19:K19"/>
    <mergeCell ref="L20:M20"/>
    <mergeCell ref="L22:M22"/>
    <mergeCell ref="L19:M19"/>
    <mergeCell ref="P20:Q20"/>
    <mergeCell ref="R20:S20"/>
    <mergeCell ref="P19:Q19"/>
    <mergeCell ref="J20:K20"/>
    <mergeCell ref="J22:K22"/>
    <mergeCell ref="P24:Q24"/>
    <mergeCell ref="R24:S24"/>
    <mergeCell ref="J25:K25"/>
    <mergeCell ref="L25:M25"/>
    <mergeCell ref="N25:O25"/>
    <mergeCell ref="P25:Q25"/>
    <mergeCell ref="R25:S25"/>
    <mergeCell ref="J26:K26"/>
    <mergeCell ref="P26:Q26"/>
    <mergeCell ref="R26:S26"/>
    <mergeCell ref="J27:K27"/>
    <mergeCell ref="L27:M27"/>
    <mergeCell ref="N27:O27"/>
    <mergeCell ref="D38:E38"/>
    <mergeCell ref="F38:G38"/>
    <mergeCell ref="H38:I38"/>
    <mergeCell ref="J38:K38"/>
    <mergeCell ref="L38:M38"/>
    <mergeCell ref="P38:Q38"/>
    <mergeCell ref="N38:O38"/>
    <mergeCell ref="D43:E43"/>
    <mergeCell ref="F43:G43"/>
    <mergeCell ref="H43:I43"/>
    <mergeCell ref="J43:K43"/>
    <mergeCell ref="L43:M43"/>
    <mergeCell ref="N43:O43"/>
    <mergeCell ref="P43:Q43"/>
    <mergeCell ref="F42:G42"/>
    <mergeCell ref="H42:I42"/>
    <mergeCell ref="J42:K42"/>
    <mergeCell ref="L42:M42"/>
    <mergeCell ref="N41:O41"/>
    <mergeCell ref="D42:E42"/>
    <mergeCell ref="P41:Q41"/>
    <mergeCell ref="P55:Q55"/>
    <mergeCell ref="R55:S55"/>
    <mergeCell ref="P52:Q52"/>
    <mergeCell ref="R54:S54"/>
    <mergeCell ref="L54:M54"/>
    <mergeCell ref="D97:E97"/>
    <mergeCell ref="F97:G97"/>
    <mergeCell ref="H97:I97"/>
    <mergeCell ref="J97:K97"/>
    <mergeCell ref="L97:M97"/>
    <mergeCell ref="P97:Q97"/>
    <mergeCell ref="R97:S97"/>
    <mergeCell ref="D95:E95"/>
    <mergeCell ref="N97:O97"/>
    <mergeCell ref="F95:G95"/>
    <mergeCell ref="H95:I95"/>
    <mergeCell ref="J95:K95"/>
    <mergeCell ref="L95:M95"/>
    <mergeCell ref="N95:O95"/>
    <mergeCell ref="P95:Q95"/>
    <mergeCell ref="P96:Q96"/>
    <mergeCell ref="R96:S96"/>
    <mergeCell ref="R95:S95"/>
    <mergeCell ref="R93:S93"/>
    <mergeCell ref="D96:E96"/>
    <mergeCell ref="F96:G96"/>
    <mergeCell ref="H96:I96"/>
    <mergeCell ref="J96:K96"/>
    <mergeCell ref="L96:M96"/>
    <mergeCell ref="N96:O96"/>
    <mergeCell ref="R85:S85"/>
    <mergeCell ref="N64:O64"/>
    <mergeCell ref="N83:O83"/>
    <mergeCell ref="D85:E85"/>
    <mergeCell ref="F85:G85"/>
    <mergeCell ref="H85:I85"/>
    <mergeCell ref="P83:Q83"/>
    <mergeCell ref="R83:S83"/>
    <mergeCell ref="N68:O68"/>
    <mergeCell ref="P68:Q68"/>
    <mergeCell ref="D66:E66"/>
    <mergeCell ref="F66:G66"/>
    <mergeCell ref="D93:E93"/>
    <mergeCell ref="F93:G93"/>
    <mergeCell ref="H93:I93"/>
    <mergeCell ref="J93:K93"/>
    <mergeCell ref="P80:Q80"/>
    <mergeCell ref="J71:K71"/>
    <mergeCell ref="D100:E100"/>
    <mergeCell ref="F100:G100"/>
    <mergeCell ref="H100:I100"/>
    <mergeCell ref="J100:K100"/>
    <mergeCell ref="L100:M100"/>
    <mergeCell ref="N100:O100"/>
    <mergeCell ref="P100:Q100"/>
    <mergeCell ref="P98:Q98"/>
    <mergeCell ref="R98:S98"/>
    <mergeCell ref="P99:Q99"/>
    <mergeCell ref="R99:S99"/>
    <mergeCell ref="H98:I98"/>
    <mergeCell ref="J98:K98"/>
    <mergeCell ref="L98:M98"/>
    <mergeCell ref="N98:O98"/>
    <mergeCell ref="H104:I104"/>
    <mergeCell ref="J104:K104"/>
    <mergeCell ref="N104:O104"/>
    <mergeCell ref="P104:Q104"/>
    <mergeCell ref="L104:M104"/>
    <mergeCell ref="P64:Q64"/>
    <mergeCell ref="R64:S64"/>
    <mergeCell ref="D64:E64"/>
    <mergeCell ref="F64:G64"/>
    <mergeCell ref="H64:I64"/>
    <mergeCell ref="J64:K64"/>
    <mergeCell ref="L64:M64"/>
    <mergeCell ref="R84:S84"/>
    <mergeCell ref="D86:E86"/>
    <mergeCell ref="F86:G86"/>
    <mergeCell ref="H86:I86"/>
    <mergeCell ref="J86:K86"/>
    <mergeCell ref="D99:E99"/>
    <mergeCell ref="F99:G99"/>
    <mergeCell ref="H99:I99"/>
    <mergeCell ref="J99:K99"/>
    <mergeCell ref="D98:E98"/>
    <mergeCell ref="F98:G98"/>
    <mergeCell ref="R100:S100"/>
    <mergeCell ref="D84:E84"/>
    <mergeCell ref="N84:O84"/>
    <mergeCell ref="P84:Q84"/>
    <mergeCell ref="P85:Q85"/>
    <mergeCell ref="D81:E81"/>
    <mergeCell ref="F81:G81"/>
    <mergeCell ref="H81:I81"/>
    <mergeCell ref="J81:K81"/>
    <mergeCell ref="L81:M81"/>
    <mergeCell ref="N81:O81"/>
    <mergeCell ref="P81:Q81"/>
    <mergeCell ref="F83:G83"/>
    <mergeCell ref="H83:I83"/>
    <mergeCell ref="J83:K83"/>
    <mergeCell ref="L83:M83"/>
    <mergeCell ref="D83:E83"/>
    <mergeCell ref="N79:O79"/>
    <mergeCell ref="R78:S78"/>
    <mergeCell ref="L80:M80"/>
    <mergeCell ref="N80:O80"/>
    <mergeCell ref="R80:S80"/>
    <mergeCell ref="P79:Q79"/>
    <mergeCell ref="L79:M79"/>
    <mergeCell ref="P74:Q74"/>
    <mergeCell ref="R74:S74"/>
    <mergeCell ref="R76:S76"/>
    <mergeCell ref="R75:S75"/>
    <mergeCell ref="N76:O76"/>
    <mergeCell ref="D77:T77"/>
    <mergeCell ref="D78:E78"/>
    <mergeCell ref="F78:G78"/>
    <mergeCell ref="R79:S79"/>
    <mergeCell ref="D79:E79"/>
    <mergeCell ref="F79:G79"/>
    <mergeCell ref="H79:I79"/>
    <mergeCell ref="J79:K79"/>
    <mergeCell ref="D80:E80"/>
    <mergeCell ref="F80:G80"/>
    <mergeCell ref="H80:I80"/>
    <mergeCell ref="J80:K80"/>
    <mergeCell ref="D75:E75"/>
    <mergeCell ref="H78:I78"/>
    <mergeCell ref="J78:K78"/>
    <mergeCell ref="L78:M78"/>
    <mergeCell ref="N78:O78"/>
    <mergeCell ref="P78:Q78"/>
    <mergeCell ref="P75:Q75"/>
    <mergeCell ref="P76:Q76"/>
    <mergeCell ref="D74:E74"/>
    <mergeCell ref="F74:G74"/>
    <mergeCell ref="H74:I74"/>
    <mergeCell ref="J74:K74"/>
    <mergeCell ref="L74:M74"/>
    <mergeCell ref="N74:O74"/>
    <mergeCell ref="F75:G75"/>
    <mergeCell ref="H75:I75"/>
    <mergeCell ref="J75:K75"/>
    <mergeCell ref="L75:M75"/>
    <mergeCell ref="N75:O75"/>
    <mergeCell ref="D76:E76"/>
    <mergeCell ref="F76:G76"/>
    <mergeCell ref="H76:I76"/>
    <mergeCell ref="J76:K76"/>
    <mergeCell ref="L76:M76"/>
    <mergeCell ref="N106:O106"/>
    <mergeCell ref="F84:G84"/>
    <mergeCell ref="H84:I84"/>
    <mergeCell ref="J84:K84"/>
    <mergeCell ref="L84:M84"/>
    <mergeCell ref="L86:M86"/>
    <mergeCell ref="L85:M85"/>
    <mergeCell ref="N85:O85"/>
    <mergeCell ref="L99:M99"/>
    <mergeCell ref="N99:O99"/>
    <mergeCell ref="C91:T91"/>
    <mergeCell ref="R106:S106"/>
    <mergeCell ref="P106:Q106"/>
    <mergeCell ref="D106:E106"/>
    <mergeCell ref="N86:O86"/>
    <mergeCell ref="P86:Q86"/>
    <mergeCell ref="F106:G106"/>
    <mergeCell ref="H106:I106"/>
    <mergeCell ref="J106:K106"/>
    <mergeCell ref="L106:M106"/>
    <mergeCell ref="R86:S86"/>
    <mergeCell ref="J85:K85"/>
    <mergeCell ref="D104:E104"/>
    <mergeCell ref="F104:G104"/>
  </mergeCells>
  <phoneticPr fontId="0" type="noConversion"/>
  <conditionalFormatting sqref="D74:E76 H74:I76">
    <cfRule type="expression" dxfId="667" priority="291" stopIfTrue="1">
      <formula>SUM($U$78:$U$81)&gt;0</formula>
    </cfRule>
  </conditionalFormatting>
  <conditionalFormatting sqref="D78:E81 H78:I81">
    <cfRule type="expression" dxfId="666" priority="297" stopIfTrue="1">
      <formula>SUM($U$74:$U$76)&gt;0</formula>
    </cfRule>
  </conditionalFormatting>
  <conditionalFormatting sqref="D83:E86 H83:I86">
    <cfRule type="expression" dxfId="665" priority="29" stopIfTrue="1">
      <formula>SUM(#REF!)&gt;0</formula>
    </cfRule>
  </conditionalFormatting>
  <conditionalFormatting sqref="D83:E86">
    <cfRule type="cellIs" dxfId="664" priority="27" stopIfTrue="1" operator="equal">
      <formula>"a"</formula>
    </cfRule>
    <cfRule type="cellIs" dxfId="663" priority="28" stopIfTrue="1" operator="equal">
      <formula>"s"</formula>
    </cfRule>
  </conditionalFormatting>
  <conditionalFormatting sqref="D6:S6 D8:S8 D10:S11 D13:S14 D16:S20 D22:S31 D33:S34 D36:S39 D41:S45 D47:S52 D54:S57 D59:S60 D64:S64 D66:S66 D68:S68 D70:S71 D74:F76 H74:J76 L74:L76 N74:N76 P74:P76 R74:R76 G75:G76 K75:K76 M75:M76 O75:O76 Q75:Q76 S75:S76 D78:S81 F83 H83:S86 F84:G86 D93:S93 D95:S101 D103:S104 D106:S106">
    <cfRule type="cellIs" dxfId="662" priority="7" stopIfTrue="1" operator="equal">
      <formula>"a"</formula>
    </cfRule>
    <cfRule type="cellIs" dxfId="661" priority="8" stopIfTrue="1" operator="equal">
      <formula>"s"</formula>
    </cfRule>
  </conditionalFormatting>
  <conditionalFormatting sqref="D89:S90">
    <cfRule type="cellIs" dxfId="660" priority="4" stopIfTrue="1" operator="equal">
      <formula>"a"</formula>
    </cfRule>
    <cfRule type="cellIs" dxfId="659" priority="5" stopIfTrue="1" operator="equal">
      <formula>"s"</formula>
    </cfRule>
  </conditionalFormatting>
  <conditionalFormatting sqref="V6 V8 V10:V11 V13:V14 V16:V20 V22:V31 V33:V34 V36:V39 V41:V45 V47:V52 V54:V57 V59:V60 V64 V66 V68 V70:V71 V89:V90 V93 V95:V101 V103:V104 V106">
    <cfRule type="expression" dxfId="658" priority="9" stopIfTrue="1">
      <formula>U6=0</formula>
    </cfRule>
  </conditionalFormatting>
  <conditionalFormatting sqref="V74:V76">
    <cfRule type="expression" dxfId="657" priority="285" stopIfTrue="1">
      <formula>SUM($U$78:$U$81)&gt;0</formula>
    </cfRule>
    <cfRule type="expression" dxfId="656" priority="286" stopIfTrue="1">
      <formula>U74=0</formula>
    </cfRule>
  </conditionalFormatting>
  <conditionalFormatting sqref="V78:V81">
    <cfRule type="expression" dxfId="655" priority="283" stopIfTrue="1">
      <formula>SUM($U$74:$U$76)&gt;0</formula>
    </cfRule>
    <cfRule type="expression" dxfId="654" priority="284" stopIfTrue="1">
      <formula>U78=0</formula>
    </cfRule>
  </conditionalFormatting>
  <conditionalFormatting sqref="V83:V86">
    <cfRule type="expression" dxfId="653" priority="287" stopIfTrue="1">
      <formula>#REF!&gt;0</formula>
    </cfRule>
    <cfRule type="expression" dxfId="652" priority="288" stopIfTrue="1">
      <formula>U83=0</formula>
    </cfRule>
  </conditionalFormatting>
  <printOptions horizontalCentered="1"/>
  <pageMargins left="0.35433070866141736" right="0.35433070866141736" top="0.31496062992125984" bottom="0.35433070866141736" header="0.15748031496062992" footer="0.15748031496062992"/>
  <pageSetup paperSize="9" scale="46" orientation="landscape" cellComments="atEnd" r:id="rId1"/>
  <headerFooter alignWithMargins="0">
    <oddFooter>&amp;L&amp;11CKL TNK / VERSION 2025 / 1.1&amp;C&amp;11OMC-08&amp;R&amp;11&amp;P of &amp;N</oddFooter>
  </headerFooter>
  <rowBreaks count="4" manualBreakCount="4">
    <brk id="31" max="21" man="1"/>
    <brk id="57" max="21" man="1"/>
    <brk id="71" max="21" man="1"/>
    <brk id="90"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dimension ref="A1:FZ641"/>
  <sheetViews>
    <sheetView zoomScale="50" zoomScaleNormal="50" zoomScaleSheetLayoutView="50" workbookViewId="0">
      <pane ySplit="3" topLeftCell="A4" activePane="bottomLeft" state="frozen"/>
      <selection activeCell="A4" sqref="A4"/>
      <selection pane="bottomLeft" activeCell="Y1" sqref="Y1"/>
    </sheetView>
  </sheetViews>
  <sheetFormatPr defaultColWidth="8.85546875" defaultRowHeight="21.75" customHeight="1" x14ac:dyDescent="0.2"/>
  <cols>
    <col min="1" max="1" width="9.7109375" style="694" customWidth="1"/>
    <col min="2" max="2" width="13.5703125" style="707" customWidth="1"/>
    <col min="3" max="3" width="151.28515625" style="708" customWidth="1"/>
    <col min="4" max="20" width="5.7109375" style="696" customWidth="1"/>
    <col min="21" max="21" width="8" style="696" customWidth="1"/>
    <col min="22" max="22" width="7.85546875" style="709" customWidth="1"/>
    <col min="23" max="23" width="2.42578125" style="696" hidden="1" customWidth="1"/>
    <col min="24" max="24" width="7.28515625" style="718" customWidth="1"/>
    <col min="25" max="25" width="8.85546875" style="696" customWidth="1"/>
    <col min="26" max="26" width="11.28515625" style="696" bestFit="1" customWidth="1"/>
    <col min="27" max="28" width="12.85546875" style="696" customWidth="1"/>
    <col min="29" max="86" width="8.85546875" style="696" customWidth="1"/>
    <col min="87" max="16384" width="8.85546875" style="696"/>
  </cols>
  <sheetData>
    <row r="1" spans="1:182" customFormat="1" ht="40.15" customHeight="1" thickBot="1" x14ac:dyDescent="0.3">
      <c r="A1" s="386" t="str">
        <f>'Checklist - Basic Ship Oil'!A1</f>
        <v xml:space="preserve">GA Code: </v>
      </c>
      <c r="B1" s="387"/>
      <c r="C1" s="399" t="str">
        <f>'Checklist - Basic Ship Oil'!C1</f>
        <v xml:space="preserve">Ship name:   </v>
      </c>
      <c r="D1" s="387"/>
      <c r="E1" s="398"/>
      <c r="F1" s="398"/>
      <c r="G1" s="398"/>
      <c r="H1" s="398"/>
      <c r="I1" s="398"/>
      <c r="J1" s="398"/>
      <c r="K1" s="398"/>
      <c r="L1" s="398"/>
      <c r="M1" s="398"/>
      <c r="N1" s="398"/>
      <c r="O1" s="398"/>
      <c r="P1" s="398"/>
      <c r="Q1" s="398"/>
      <c r="R1" s="398"/>
      <c r="S1" s="398"/>
      <c r="U1" s="62"/>
      <c r="V1" s="388" t="str">
        <f>'Checklist - Basic Ship Oil'!T1</f>
        <v xml:space="preserve">Date of Ship Survey:  </v>
      </c>
      <c r="W1" s="62"/>
      <c r="X1" s="715"/>
      <c r="Y1" s="353"/>
      <c r="Z1" s="353"/>
      <c r="AA1" s="353"/>
      <c r="AB1" s="353"/>
      <c r="AC1" s="353"/>
      <c r="AD1" s="353"/>
      <c r="AE1" s="353"/>
      <c r="AF1" s="353"/>
      <c r="AG1" s="353"/>
      <c r="AH1" s="353"/>
      <c r="AI1" s="353"/>
      <c r="AJ1" s="353"/>
      <c r="AK1" s="353"/>
      <c r="AL1" s="353"/>
      <c r="AM1" s="353"/>
      <c r="AN1" s="353"/>
      <c r="AO1" s="353"/>
      <c r="AP1" s="353"/>
      <c r="AQ1" s="353"/>
      <c r="AR1" s="353"/>
      <c r="AS1" s="353"/>
      <c r="AT1" s="353"/>
      <c r="AU1" s="353"/>
      <c r="AV1" s="353"/>
      <c r="AW1" s="353"/>
      <c r="AX1" s="353"/>
      <c r="AY1" s="353"/>
      <c r="AZ1" s="353"/>
      <c r="BA1" s="353"/>
      <c r="BB1" s="353"/>
      <c r="BC1" s="353"/>
      <c r="BD1" s="353"/>
      <c r="BE1" s="353"/>
      <c r="BF1" s="353"/>
      <c r="BG1" s="353"/>
      <c r="BH1" s="353"/>
      <c r="BI1" s="353"/>
      <c r="BJ1" s="353"/>
      <c r="BK1" s="353"/>
      <c r="BL1" s="353"/>
      <c r="BM1" s="353"/>
      <c r="BN1" s="353"/>
      <c r="BO1" s="353"/>
      <c r="BP1" s="353"/>
      <c r="BQ1" s="353"/>
      <c r="BR1" s="353"/>
      <c r="BS1" s="353"/>
      <c r="BT1" s="353"/>
      <c r="BU1" s="353"/>
      <c r="BV1" s="353"/>
      <c r="BW1" s="353"/>
      <c r="BX1" s="353"/>
      <c r="BY1" s="353"/>
      <c r="BZ1" s="353"/>
      <c r="CA1" s="353"/>
      <c r="CB1" s="353"/>
      <c r="CC1" s="353"/>
      <c r="CD1" s="353"/>
      <c r="CE1" s="353"/>
      <c r="CF1" s="353"/>
      <c r="CG1" s="353"/>
      <c r="CH1" s="353"/>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row>
    <row r="2" spans="1:182" s="4" customFormat="1" ht="30.75" customHeight="1" thickBot="1" x14ac:dyDescent="0.25">
      <c r="A2" s="978" t="s">
        <v>1803</v>
      </c>
      <c r="B2" s="979"/>
      <c r="C2" s="979"/>
      <c r="D2" s="979"/>
      <c r="E2" s="979"/>
      <c r="F2" s="979"/>
      <c r="G2" s="979"/>
      <c r="H2" s="979"/>
      <c r="I2" s="979"/>
      <c r="J2" s="979"/>
      <c r="K2" s="979"/>
      <c r="L2" s="979"/>
      <c r="M2" s="979"/>
      <c r="N2" s="979"/>
      <c r="O2" s="979"/>
      <c r="P2" s="979"/>
      <c r="Q2" s="979"/>
      <c r="R2" s="979"/>
      <c r="S2" s="979"/>
      <c r="T2" s="979"/>
      <c r="U2" s="979"/>
      <c r="V2" s="980"/>
      <c r="W2" s="82"/>
      <c r="X2" s="71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row>
    <row r="3" spans="1:182" customFormat="1" ht="160.5" customHeight="1" thickBot="1" x14ac:dyDescent="0.55000000000000004">
      <c r="A3" s="639" t="s">
        <v>948</v>
      </c>
      <c r="B3" s="640" t="s">
        <v>295</v>
      </c>
      <c r="C3" s="641"/>
      <c r="D3" s="642" t="s">
        <v>296</v>
      </c>
      <c r="E3" s="643" t="s">
        <v>158</v>
      </c>
      <c r="F3" s="642" t="s">
        <v>297</v>
      </c>
      <c r="G3" s="644" t="s">
        <v>158</v>
      </c>
      <c r="H3" s="642" t="s">
        <v>298</v>
      </c>
      <c r="I3" s="643" t="s">
        <v>158</v>
      </c>
      <c r="J3" s="642" t="s">
        <v>988</v>
      </c>
      <c r="K3" s="644" t="s">
        <v>158</v>
      </c>
      <c r="L3" s="642" t="s">
        <v>595</v>
      </c>
      <c r="M3" s="643" t="s">
        <v>158</v>
      </c>
      <c r="N3" s="642" t="s">
        <v>509</v>
      </c>
      <c r="O3" s="643" t="s">
        <v>158</v>
      </c>
      <c r="P3" s="642" t="s">
        <v>510</v>
      </c>
      <c r="Q3" s="643" t="s">
        <v>158</v>
      </c>
      <c r="R3" s="642" t="s">
        <v>1135</v>
      </c>
      <c r="S3" s="643" t="s">
        <v>158</v>
      </c>
      <c r="T3" s="645" t="s">
        <v>528</v>
      </c>
      <c r="U3" s="646" t="s">
        <v>159</v>
      </c>
      <c r="V3" s="647" t="s">
        <v>160</v>
      </c>
      <c r="W3" s="62"/>
      <c r="X3" s="719"/>
      <c r="Y3" s="28"/>
      <c r="Z3" s="350" t="s">
        <v>655</v>
      </c>
      <c r="AA3" s="28"/>
      <c r="AB3" s="28"/>
      <c r="AC3" s="28"/>
      <c r="AD3" s="28"/>
      <c r="AE3" s="28"/>
      <c r="AF3" s="28"/>
      <c r="AG3" s="28"/>
      <c r="AH3" s="28"/>
      <c r="AI3" s="28"/>
      <c r="AJ3" s="28"/>
      <c r="AK3" s="28"/>
      <c r="AL3" s="28"/>
      <c r="AM3" s="28"/>
      <c r="AN3" s="28"/>
      <c r="AO3" s="28"/>
      <c r="AP3" s="28"/>
      <c r="AQ3" s="28"/>
      <c r="AR3" s="28"/>
      <c r="AS3" s="28"/>
      <c r="AT3" s="28"/>
      <c r="AU3" s="353"/>
      <c r="AV3" s="353"/>
      <c r="AW3" s="353"/>
      <c r="AX3" s="353"/>
      <c r="AY3" s="353"/>
      <c r="AZ3" s="353"/>
      <c r="BA3" s="353"/>
      <c r="BB3" s="353"/>
      <c r="BC3" s="353"/>
      <c r="BD3" s="353"/>
      <c r="BE3" s="353"/>
      <c r="BF3" s="353"/>
      <c r="BG3" s="353"/>
      <c r="BH3" s="353"/>
      <c r="BI3" s="353"/>
      <c r="BJ3" s="353"/>
      <c r="BK3" s="353"/>
      <c r="BL3" s="353"/>
      <c r="BM3" s="353"/>
      <c r="BN3" s="353"/>
      <c r="BO3" s="353"/>
      <c r="BP3" s="353"/>
      <c r="BQ3" s="353"/>
      <c r="BR3" s="353"/>
      <c r="BS3" s="353"/>
      <c r="BT3" s="353"/>
      <c r="BU3" s="353"/>
      <c r="BV3" s="353"/>
      <c r="BW3" s="353"/>
      <c r="BX3" s="353"/>
      <c r="BY3" s="353"/>
      <c r="BZ3" s="353"/>
      <c r="CA3" s="353"/>
      <c r="CB3" s="353"/>
      <c r="CC3" s="353"/>
      <c r="CD3" s="353"/>
      <c r="CE3" s="353"/>
      <c r="CF3" s="353"/>
      <c r="CG3" s="353"/>
      <c r="CH3" s="353"/>
    </row>
    <row r="4" spans="1:182" ht="33" customHeight="1" thickBot="1" x14ac:dyDescent="0.25">
      <c r="A4" s="648"/>
      <c r="B4" s="328">
        <v>1000</v>
      </c>
      <c r="C4" s="975" t="s">
        <v>832</v>
      </c>
      <c r="D4" s="976"/>
      <c r="E4" s="976"/>
      <c r="F4" s="976"/>
      <c r="G4" s="976"/>
      <c r="H4" s="976"/>
      <c r="I4" s="976"/>
      <c r="J4" s="976"/>
      <c r="K4" s="976"/>
      <c r="L4" s="976"/>
      <c r="M4" s="976"/>
      <c r="N4" s="976"/>
      <c r="O4" s="976"/>
      <c r="P4" s="976"/>
      <c r="Q4" s="976"/>
      <c r="R4" s="976"/>
      <c r="S4" s="976"/>
      <c r="T4" s="976"/>
      <c r="U4" s="976"/>
      <c r="V4" s="977"/>
      <c r="W4" s="82"/>
    </row>
    <row r="5" spans="1:182" ht="30" customHeight="1" thickBot="1" x14ac:dyDescent="0.25">
      <c r="A5" s="421"/>
      <c r="B5" s="322">
        <v>1200</v>
      </c>
      <c r="C5" s="140" t="s">
        <v>710</v>
      </c>
      <c r="D5" s="26"/>
      <c r="E5" s="35"/>
      <c r="F5" s="36" t="s">
        <v>661</v>
      </c>
      <c r="G5" s="37"/>
      <c r="H5" s="26" t="s">
        <v>661</v>
      </c>
      <c r="I5" s="35"/>
      <c r="J5" s="25" t="s">
        <v>661</v>
      </c>
      <c r="K5" s="37"/>
      <c r="L5" s="26" t="s">
        <v>661</v>
      </c>
      <c r="M5" s="29"/>
      <c r="N5" s="26" t="s">
        <v>661</v>
      </c>
      <c r="O5" s="31"/>
      <c r="P5" s="27"/>
      <c r="Q5" s="38"/>
      <c r="R5" s="27"/>
      <c r="S5" s="29"/>
      <c r="T5" s="32"/>
      <c r="U5" s="33"/>
      <c r="V5" s="419"/>
      <c r="W5" s="82"/>
      <c r="Z5" s="697"/>
    </row>
    <row r="6" spans="1:182" ht="45" customHeight="1" x14ac:dyDescent="0.2">
      <c r="A6" s="421"/>
      <c r="B6" s="310" t="s">
        <v>1060</v>
      </c>
      <c r="C6" s="269" t="s">
        <v>905</v>
      </c>
      <c r="D6" s="748"/>
      <c r="E6" s="749"/>
      <c r="F6" s="748"/>
      <c r="G6" s="749"/>
      <c r="H6" s="748"/>
      <c r="I6" s="749"/>
      <c r="J6" s="748"/>
      <c r="K6" s="749"/>
      <c r="L6" s="748"/>
      <c r="M6" s="749"/>
      <c r="N6" s="748"/>
      <c r="O6" s="749"/>
      <c r="P6" s="748"/>
      <c r="Q6" s="749"/>
      <c r="R6" s="748"/>
      <c r="S6" s="749"/>
      <c r="T6" s="69"/>
      <c r="U6" s="70">
        <f>IF(OR(D6="s",F6="s",H6="s",J6="s",L6="s",N6="s",P6="s",R6="s"), 0, IF(OR(D6="a",F6="a",H6="a",J6="a",L6="a",N6="a",P6="a",R6="a"),V6,0))</f>
        <v>0</v>
      </c>
      <c r="V6" s="446">
        <v>10</v>
      </c>
      <c r="W6" s="82">
        <f>COUNTIF(D6:S6,"a")+COUNTIF(D6:S6,"s")</f>
        <v>0</v>
      </c>
      <c r="X6" s="717"/>
      <c r="Z6" s="697" t="s">
        <v>656</v>
      </c>
      <c r="AA6" s="698"/>
    </row>
    <row r="7" spans="1:182" ht="27.95" customHeight="1" x14ac:dyDescent="0.2">
      <c r="A7" s="421"/>
      <c r="B7" s="319" t="s">
        <v>200</v>
      </c>
      <c r="C7" s="259" t="s">
        <v>906</v>
      </c>
      <c r="D7" s="742"/>
      <c r="E7" s="743"/>
      <c r="F7" s="742"/>
      <c r="G7" s="743"/>
      <c r="H7" s="742"/>
      <c r="I7" s="743"/>
      <c r="J7" s="742"/>
      <c r="K7" s="743"/>
      <c r="L7" s="742"/>
      <c r="M7" s="743"/>
      <c r="N7" s="742"/>
      <c r="O7" s="743"/>
      <c r="P7" s="742"/>
      <c r="Q7" s="743"/>
      <c r="R7" s="742"/>
      <c r="S7" s="743"/>
      <c r="T7" s="69"/>
      <c r="U7" s="67">
        <f t="shared" ref="U7:U15" si="0">IF(OR(D7="s",F7="s",H7="s",J7="s",L7="s",N7="s",P7="s",R7="s"), 0, IF(OR(D7="a",F7="a",H7="a",J7="a",L7="a",N7="a",P7="a",R7="a"),V7,0))</f>
        <v>0</v>
      </c>
      <c r="V7" s="447">
        <v>10</v>
      </c>
      <c r="W7" s="82">
        <f t="shared" ref="W7:W15" si="1">COUNTIF(D7:S7,"a")+COUNTIF(D7:S7,"s")</f>
        <v>0</v>
      </c>
      <c r="X7" s="717"/>
      <c r="Z7" s="697" t="s">
        <v>656</v>
      </c>
      <c r="AA7" s="698"/>
    </row>
    <row r="8" spans="1:182" ht="27.95" customHeight="1" x14ac:dyDescent="0.2">
      <c r="A8" s="421"/>
      <c r="B8" s="319" t="s">
        <v>958</v>
      </c>
      <c r="C8" s="259" t="s">
        <v>907</v>
      </c>
      <c r="D8" s="742"/>
      <c r="E8" s="743"/>
      <c r="F8" s="742"/>
      <c r="G8" s="743"/>
      <c r="H8" s="742"/>
      <c r="I8" s="743"/>
      <c r="J8" s="742"/>
      <c r="K8" s="743"/>
      <c r="L8" s="742"/>
      <c r="M8" s="743"/>
      <c r="N8" s="742"/>
      <c r="O8" s="743"/>
      <c r="P8" s="742"/>
      <c r="Q8" s="743"/>
      <c r="R8" s="742"/>
      <c r="S8" s="743"/>
      <c r="T8" s="69"/>
      <c r="U8" s="67">
        <f t="shared" si="0"/>
        <v>0</v>
      </c>
      <c r="V8" s="447">
        <v>5</v>
      </c>
      <c r="W8" s="82">
        <f t="shared" si="1"/>
        <v>0</v>
      </c>
      <c r="X8" s="717"/>
      <c r="Z8" s="697" t="s">
        <v>656</v>
      </c>
      <c r="AA8" s="698"/>
    </row>
    <row r="9" spans="1:182" ht="67.7" customHeight="1" x14ac:dyDescent="0.2">
      <c r="A9" s="421"/>
      <c r="B9" s="319" t="s">
        <v>1068</v>
      </c>
      <c r="C9" s="259" t="s">
        <v>924</v>
      </c>
      <c r="D9" s="742"/>
      <c r="E9" s="743"/>
      <c r="F9" s="742"/>
      <c r="G9" s="743"/>
      <c r="H9" s="742"/>
      <c r="I9" s="743"/>
      <c r="J9" s="742"/>
      <c r="K9" s="743"/>
      <c r="L9" s="742"/>
      <c r="M9" s="743"/>
      <c r="N9" s="742"/>
      <c r="O9" s="743"/>
      <c r="P9" s="742"/>
      <c r="Q9" s="743"/>
      <c r="R9" s="742"/>
      <c r="S9" s="743"/>
      <c r="T9" s="69"/>
      <c r="U9" s="67">
        <f t="shared" si="0"/>
        <v>0</v>
      </c>
      <c r="V9" s="446">
        <v>5</v>
      </c>
      <c r="W9" s="82">
        <f t="shared" si="1"/>
        <v>0</v>
      </c>
      <c r="X9" s="717"/>
      <c r="Z9" s="697" t="s">
        <v>656</v>
      </c>
      <c r="AA9" s="698"/>
    </row>
    <row r="10" spans="1:182" ht="45" customHeight="1" x14ac:dyDescent="0.2">
      <c r="A10" s="421"/>
      <c r="B10" s="319" t="s">
        <v>201</v>
      </c>
      <c r="C10" s="259" t="s">
        <v>831</v>
      </c>
      <c r="D10" s="742"/>
      <c r="E10" s="743"/>
      <c r="F10" s="742"/>
      <c r="G10" s="743"/>
      <c r="H10" s="742"/>
      <c r="I10" s="743"/>
      <c r="J10" s="742"/>
      <c r="K10" s="743"/>
      <c r="L10" s="742"/>
      <c r="M10" s="743"/>
      <c r="N10" s="742"/>
      <c r="O10" s="743"/>
      <c r="P10" s="742"/>
      <c r="Q10" s="743"/>
      <c r="R10" s="742"/>
      <c r="S10" s="743"/>
      <c r="T10" s="69"/>
      <c r="U10" s="67">
        <f t="shared" si="0"/>
        <v>0</v>
      </c>
      <c r="V10" s="447">
        <v>10</v>
      </c>
      <c r="W10" s="82">
        <f t="shared" si="1"/>
        <v>0</v>
      </c>
      <c r="X10" s="717"/>
      <c r="Z10" s="697" t="s">
        <v>656</v>
      </c>
      <c r="AA10" s="698"/>
    </row>
    <row r="11" spans="1:182" ht="45" customHeight="1" x14ac:dyDescent="0.2">
      <c r="A11" s="421"/>
      <c r="B11" s="319" t="s">
        <v>202</v>
      </c>
      <c r="C11" s="259" t="s">
        <v>68</v>
      </c>
      <c r="D11" s="742"/>
      <c r="E11" s="743"/>
      <c r="F11" s="742"/>
      <c r="G11" s="743"/>
      <c r="H11" s="742"/>
      <c r="I11" s="743"/>
      <c r="J11" s="742"/>
      <c r="K11" s="743"/>
      <c r="L11" s="742"/>
      <c r="M11" s="743"/>
      <c r="N11" s="742"/>
      <c r="O11" s="743"/>
      <c r="P11" s="742"/>
      <c r="Q11" s="743"/>
      <c r="R11" s="742"/>
      <c r="S11" s="743"/>
      <c r="T11" s="69"/>
      <c r="U11" s="67">
        <f t="shared" si="0"/>
        <v>0</v>
      </c>
      <c r="V11" s="447">
        <v>10</v>
      </c>
      <c r="W11" s="82">
        <f t="shared" si="1"/>
        <v>0</v>
      </c>
      <c r="X11" s="717"/>
      <c r="Z11" s="697" t="s">
        <v>656</v>
      </c>
      <c r="AA11" s="698"/>
    </row>
    <row r="12" spans="1:182" ht="27.95" customHeight="1" x14ac:dyDescent="0.2">
      <c r="A12" s="421"/>
      <c r="B12" s="319" t="s">
        <v>283</v>
      </c>
      <c r="C12" s="259" t="s">
        <v>748</v>
      </c>
      <c r="D12" s="742"/>
      <c r="E12" s="743"/>
      <c r="F12" s="742"/>
      <c r="G12" s="743"/>
      <c r="H12" s="742"/>
      <c r="I12" s="743"/>
      <c r="J12" s="742"/>
      <c r="K12" s="743"/>
      <c r="L12" s="742"/>
      <c r="M12" s="743"/>
      <c r="N12" s="742"/>
      <c r="O12" s="743"/>
      <c r="P12" s="742"/>
      <c r="Q12" s="743"/>
      <c r="R12" s="742"/>
      <c r="S12" s="743"/>
      <c r="T12" s="69"/>
      <c r="U12" s="67">
        <f t="shared" si="0"/>
        <v>0</v>
      </c>
      <c r="V12" s="447">
        <v>5</v>
      </c>
      <c r="W12" s="82">
        <f t="shared" si="1"/>
        <v>0</v>
      </c>
      <c r="X12" s="717"/>
      <c r="Z12" s="697" t="s">
        <v>656</v>
      </c>
      <c r="AA12" s="698"/>
    </row>
    <row r="13" spans="1:182" ht="27.95" customHeight="1" x14ac:dyDescent="0.2">
      <c r="A13" s="421"/>
      <c r="B13" s="319" t="s">
        <v>231</v>
      </c>
      <c r="C13" s="259" t="s">
        <v>858</v>
      </c>
      <c r="D13" s="742"/>
      <c r="E13" s="743"/>
      <c r="F13" s="742"/>
      <c r="G13" s="743"/>
      <c r="H13" s="742"/>
      <c r="I13" s="743"/>
      <c r="J13" s="742"/>
      <c r="K13" s="743"/>
      <c r="L13" s="742"/>
      <c r="M13" s="743"/>
      <c r="N13" s="742"/>
      <c r="O13" s="743"/>
      <c r="P13" s="742"/>
      <c r="Q13" s="743"/>
      <c r="R13" s="742"/>
      <c r="S13" s="743"/>
      <c r="T13" s="69"/>
      <c r="U13" s="67">
        <f t="shared" si="0"/>
        <v>0</v>
      </c>
      <c r="V13" s="447">
        <v>5</v>
      </c>
      <c r="W13" s="82">
        <f t="shared" si="1"/>
        <v>0</v>
      </c>
      <c r="X13" s="717"/>
      <c r="Z13" s="697" t="s">
        <v>656</v>
      </c>
      <c r="AA13" s="698"/>
    </row>
    <row r="14" spans="1:182" ht="27.95" customHeight="1" x14ac:dyDescent="0.2">
      <c r="A14" s="421"/>
      <c r="B14" s="319" t="s">
        <v>232</v>
      </c>
      <c r="C14" s="259" t="s">
        <v>859</v>
      </c>
      <c r="D14" s="742"/>
      <c r="E14" s="743"/>
      <c r="F14" s="742"/>
      <c r="G14" s="743"/>
      <c r="H14" s="742"/>
      <c r="I14" s="743"/>
      <c r="J14" s="742"/>
      <c r="K14" s="743"/>
      <c r="L14" s="742"/>
      <c r="M14" s="743"/>
      <c r="N14" s="742"/>
      <c r="O14" s="743"/>
      <c r="P14" s="742"/>
      <c r="Q14" s="743"/>
      <c r="R14" s="742"/>
      <c r="S14" s="743"/>
      <c r="T14" s="69"/>
      <c r="U14" s="67">
        <f t="shared" si="0"/>
        <v>0</v>
      </c>
      <c r="V14" s="447">
        <v>5</v>
      </c>
      <c r="W14" s="82">
        <f t="shared" si="1"/>
        <v>0</v>
      </c>
      <c r="X14" s="717"/>
      <c r="Z14" s="697" t="s">
        <v>656</v>
      </c>
      <c r="AA14" s="698"/>
    </row>
    <row r="15" spans="1:182" ht="27.95" customHeight="1" x14ac:dyDescent="0.2">
      <c r="A15" s="421"/>
      <c r="B15" s="319" t="s">
        <v>959</v>
      </c>
      <c r="C15" s="259" t="s">
        <v>719</v>
      </c>
      <c r="D15" s="742"/>
      <c r="E15" s="743"/>
      <c r="F15" s="742"/>
      <c r="G15" s="743"/>
      <c r="H15" s="742"/>
      <c r="I15" s="743"/>
      <c r="J15" s="742"/>
      <c r="K15" s="743"/>
      <c r="L15" s="742"/>
      <c r="M15" s="743"/>
      <c r="N15" s="742"/>
      <c r="O15" s="743"/>
      <c r="P15" s="742"/>
      <c r="Q15" s="743"/>
      <c r="R15" s="742"/>
      <c r="S15" s="743"/>
      <c r="T15" s="69"/>
      <c r="U15" s="67">
        <f t="shared" si="0"/>
        <v>0</v>
      </c>
      <c r="V15" s="447">
        <v>5</v>
      </c>
      <c r="W15" s="82">
        <f t="shared" si="1"/>
        <v>0</v>
      </c>
      <c r="X15" s="717"/>
      <c r="Z15" s="697" t="s">
        <v>656</v>
      </c>
      <c r="AA15" s="698"/>
    </row>
    <row r="16" spans="1:182" ht="27.95" customHeight="1" thickBot="1" x14ac:dyDescent="0.25">
      <c r="A16" s="421"/>
      <c r="B16" s="319" t="s">
        <v>901</v>
      </c>
      <c r="C16" s="270" t="s">
        <v>44</v>
      </c>
      <c r="D16" s="751"/>
      <c r="E16" s="752"/>
      <c r="F16" s="751"/>
      <c r="G16" s="752"/>
      <c r="H16" s="751"/>
      <c r="I16" s="752"/>
      <c r="J16" s="751"/>
      <c r="K16" s="752"/>
      <c r="L16" s="751"/>
      <c r="M16" s="752"/>
      <c r="N16" s="751"/>
      <c r="O16" s="752"/>
      <c r="P16" s="751"/>
      <c r="Q16" s="752"/>
      <c r="R16" s="751"/>
      <c r="S16" s="752"/>
      <c r="T16" s="112"/>
      <c r="U16" s="68">
        <f>IF(OR(D16="s",F16="s",H16="s",J16="s",L16="s",N16="s",P16="s",R16="s"), 0, IF(OR(D16="a",F16="a",H16="a",J16="a",L16="a",N16="a",P16="a",R16="a",T16="NA"),V16,0))</f>
        <v>0</v>
      </c>
      <c r="V16" s="448">
        <v>10</v>
      </c>
      <c r="W16" s="82">
        <f>COUNTIF(D16:S16,"a")+COUNTIF(D16:S16,"s")+COUNTIF(T16,"NA")</f>
        <v>0</v>
      </c>
      <c r="X16" s="717"/>
      <c r="Z16" s="697" t="s">
        <v>656</v>
      </c>
      <c r="AA16" s="698"/>
    </row>
    <row r="17" spans="1:27" ht="21" customHeight="1" thickTop="1" thickBot="1" x14ac:dyDescent="0.25">
      <c r="A17" s="421"/>
      <c r="B17" s="75"/>
      <c r="C17" s="164"/>
      <c r="D17" s="750" t="s">
        <v>662</v>
      </c>
      <c r="E17" s="779"/>
      <c r="F17" s="779"/>
      <c r="G17" s="779"/>
      <c r="H17" s="779"/>
      <c r="I17" s="779"/>
      <c r="J17" s="779"/>
      <c r="K17" s="779"/>
      <c r="L17" s="779"/>
      <c r="M17" s="779"/>
      <c r="N17" s="779"/>
      <c r="O17" s="779"/>
      <c r="P17" s="779"/>
      <c r="Q17" s="779"/>
      <c r="R17" s="779"/>
      <c r="S17" s="779"/>
      <c r="T17" s="780"/>
      <c r="U17" s="2">
        <f>SUM(U6:U16)</f>
        <v>0</v>
      </c>
      <c r="V17" s="449">
        <f>SUM(V6:V16)</f>
        <v>80</v>
      </c>
      <c r="W17" s="82"/>
      <c r="Z17" s="697"/>
      <c r="AA17" s="698"/>
    </row>
    <row r="18" spans="1:27" ht="21" customHeight="1" thickBot="1" x14ac:dyDescent="0.25">
      <c r="A18" s="421"/>
      <c r="B18" s="75"/>
      <c r="C18" s="166" t="s">
        <v>744</v>
      </c>
      <c r="D18" s="945"/>
      <c r="E18" s="741"/>
      <c r="F18" s="853">
        <v>80</v>
      </c>
      <c r="G18" s="746"/>
      <c r="H18" s="746"/>
      <c r="I18" s="746"/>
      <c r="J18" s="746"/>
      <c r="K18" s="746"/>
      <c r="L18" s="746"/>
      <c r="M18" s="746"/>
      <c r="N18" s="746"/>
      <c r="O18" s="746"/>
      <c r="P18" s="746"/>
      <c r="Q18" s="746"/>
      <c r="R18" s="746"/>
      <c r="S18" s="746"/>
      <c r="T18" s="746"/>
      <c r="U18" s="746"/>
      <c r="V18" s="747"/>
      <c r="W18" s="82"/>
      <c r="Z18" s="697"/>
      <c r="AA18" s="698"/>
    </row>
    <row r="19" spans="1:27" ht="48" customHeight="1" thickBot="1" x14ac:dyDescent="0.25">
      <c r="A19" s="433"/>
      <c r="B19" s="317">
        <v>1300</v>
      </c>
      <c r="C19" s="140" t="s">
        <v>588</v>
      </c>
      <c r="D19" s="27"/>
      <c r="E19" s="29"/>
      <c r="F19" s="30"/>
      <c r="G19" s="31"/>
      <c r="H19" s="26"/>
      <c r="I19" s="29"/>
      <c r="J19" s="25"/>
      <c r="K19" s="31"/>
      <c r="L19" s="26" t="s">
        <v>661</v>
      </c>
      <c r="M19" s="29"/>
      <c r="N19" s="30"/>
      <c r="O19" s="31"/>
      <c r="P19" s="27"/>
      <c r="Q19" s="38"/>
      <c r="R19" s="27"/>
      <c r="S19" s="29"/>
      <c r="T19" s="32"/>
      <c r="U19" s="39"/>
      <c r="V19" s="450"/>
      <c r="W19" s="82"/>
      <c r="Z19" s="697"/>
      <c r="AA19" s="698"/>
    </row>
    <row r="20" spans="1:27" ht="27.95" customHeight="1" x14ac:dyDescent="0.2">
      <c r="A20" s="433"/>
      <c r="B20" s="318" t="s">
        <v>233</v>
      </c>
      <c r="C20" s="162" t="s">
        <v>645</v>
      </c>
      <c r="D20" s="748"/>
      <c r="E20" s="749"/>
      <c r="F20" s="748"/>
      <c r="G20" s="749"/>
      <c r="H20" s="748"/>
      <c r="I20" s="749"/>
      <c r="J20" s="748"/>
      <c r="K20" s="749"/>
      <c r="L20" s="748"/>
      <c r="M20" s="749"/>
      <c r="N20" s="748"/>
      <c r="O20" s="749"/>
      <c r="P20" s="748"/>
      <c r="Q20" s="749"/>
      <c r="R20" s="748"/>
      <c r="S20" s="749"/>
      <c r="T20" s="74"/>
      <c r="U20" s="70">
        <f>IF(OR(D20="s",F20="s",H20="s",J20="s",L20="s",N20="s",P20="s",R20="s"), 0, IF(OR(D20="a",F20="a",H20="a",J20="a",L20="a",N20="a",P20="a",R20="a"),V20,0))</f>
        <v>0</v>
      </c>
      <c r="V20" s="448">
        <v>20</v>
      </c>
      <c r="W20" s="82">
        <f>IF((COUNTIF(D20:S20,"a")+COUNTIF(D20:S20,"s"))&gt;0,IF(OR((COUNTIF(D21:S21,"a")+COUNTIF(D21:S21,"s"))),0,COUNTIF(D20:S20,"a")+COUNTIF(D20:S20,"s")),COUNTIF(D20:S20,"a")+COUNTIF(D20:S20,"s"))</f>
        <v>0</v>
      </c>
      <c r="X20" s="717"/>
      <c r="Z20" s="697"/>
      <c r="AA20" s="698"/>
    </row>
    <row r="21" spans="1:27" ht="27.95" customHeight="1" thickBot="1" x14ac:dyDescent="0.25">
      <c r="A21" s="433"/>
      <c r="B21" s="320" t="s">
        <v>646</v>
      </c>
      <c r="C21" s="271" t="s">
        <v>1743</v>
      </c>
      <c r="D21" s="751"/>
      <c r="E21" s="752"/>
      <c r="F21" s="751"/>
      <c r="G21" s="752"/>
      <c r="H21" s="751"/>
      <c r="I21" s="752"/>
      <c r="J21" s="751"/>
      <c r="K21" s="752"/>
      <c r="L21" s="751"/>
      <c r="M21" s="752"/>
      <c r="N21" s="751"/>
      <c r="O21" s="752"/>
      <c r="P21" s="751"/>
      <c r="Q21" s="752"/>
      <c r="R21" s="751"/>
      <c r="S21" s="752"/>
      <c r="T21" s="73"/>
      <c r="U21" s="110">
        <f>IF(OR(D21="s",F21="s",H21="s",J21="s",L21="s",N21="s",P21="s",R21="s"), 0, IF(OR(D21="a",F21="a",H21="a",J21="a",L21="a",N21="a",P21="a",R21="a"),V21,0))</f>
        <v>0</v>
      </c>
      <c r="V21" s="451">
        <v>10</v>
      </c>
      <c r="W21" s="82">
        <f>IF((COUNTIF(D21:S21,"a")+COUNTIF(D21:S21,"s"))&gt;0,IF((COUNTIF(D20:S20,"a")+COUNTIF(D20:S20,"s"))&gt;0,0,COUNTIF(D21:S21,"a")+COUNTIF(D21:S21,"s")), COUNTIF(D21:S21,"a")+COUNTIF(D21:S21,"s"))</f>
        <v>0</v>
      </c>
      <c r="X21" s="717"/>
      <c r="Z21" s="697" t="s">
        <v>656</v>
      </c>
      <c r="AA21" s="698"/>
    </row>
    <row r="22" spans="1:27" ht="21" customHeight="1" thickTop="1" thickBot="1" x14ac:dyDescent="0.25">
      <c r="A22" s="433"/>
      <c r="B22" s="167"/>
      <c r="C22" s="165" t="s">
        <v>744</v>
      </c>
      <c r="D22" s="750" t="s">
        <v>662</v>
      </c>
      <c r="E22" s="779"/>
      <c r="F22" s="779"/>
      <c r="G22" s="779"/>
      <c r="H22" s="779"/>
      <c r="I22" s="779"/>
      <c r="J22" s="779"/>
      <c r="K22" s="779"/>
      <c r="L22" s="779"/>
      <c r="M22" s="779"/>
      <c r="N22" s="779"/>
      <c r="O22" s="779"/>
      <c r="P22" s="779"/>
      <c r="Q22" s="779"/>
      <c r="R22" s="779"/>
      <c r="S22" s="779"/>
      <c r="T22" s="780"/>
      <c r="U22" s="2">
        <f>SUM(U20:U21)</f>
        <v>0</v>
      </c>
      <c r="V22" s="418">
        <v>20</v>
      </c>
      <c r="W22" s="82"/>
      <c r="Z22" s="697"/>
      <c r="AA22" s="698"/>
    </row>
    <row r="23" spans="1:27" ht="21" customHeight="1" thickBot="1" x14ac:dyDescent="0.25">
      <c r="A23" s="189"/>
      <c r="B23" s="115"/>
      <c r="C23" s="380" t="s">
        <v>744</v>
      </c>
      <c r="D23" s="945"/>
      <c r="E23" s="741"/>
      <c r="F23" s="852">
        <v>10</v>
      </c>
      <c r="G23" s="746"/>
      <c r="H23" s="746"/>
      <c r="I23" s="746"/>
      <c r="J23" s="746"/>
      <c r="K23" s="746"/>
      <c r="L23" s="746"/>
      <c r="M23" s="746"/>
      <c r="N23" s="746"/>
      <c r="O23" s="746"/>
      <c r="P23" s="746"/>
      <c r="Q23" s="746"/>
      <c r="R23" s="746"/>
      <c r="S23" s="746"/>
      <c r="T23" s="746"/>
      <c r="U23" s="746"/>
      <c r="V23" s="747"/>
      <c r="W23" s="82"/>
      <c r="Z23" s="697"/>
      <c r="AA23" s="698"/>
    </row>
    <row r="24" spans="1:27" ht="30" customHeight="1" thickBot="1" x14ac:dyDescent="0.25">
      <c r="A24" s="531"/>
      <c r="B24" s="316">
        <v>1400</v>
      </c>
      <c r="C24" s="157" t="s">
        <v>711</v>
      </c>
      <c r="D24" s="550" t="s">
        <v>661</v>
      </c>
      <c r="E24" s="549"/>
      <c r="F24" s="379"/>
      <c r="G24" s="99"/>
      <c r="H24" s="550"/>
      <c r="I24" s="549"/>
      <c r="J24" s="249" t="s">
        <v>661</v>
      </c>
      <c r="K24" s="99"/>
      <c r="L24" s="550"/>
      <c r="M24" s="549"/>
      <c r="N24" s="379" t="s">
        <v>661</v>
      </c>
      <c r="O24" s="99"/>
      <c r="P24" s="550"/>
      <c r="Q24" s="549"/>
      <c r="R24" s="550" t="s">
        <v>661</v>
      </c>
      <c r="S24" s="549"/>
      <c r="T24" s="557"/>
      <c r="U24" s="374"/>
      <c r="V24" s="414"/>
      <c r="W24" s="82"/>
      <c r="Z24" s="697"/>
      <c r="AA24" s="698"/>
    </row>
    <row r="25" spans="1:27" ht="45" customHeight="1" x14ac:dyDescent="0.2">
      <c r="A25" s="421"/>
      <c r="B25" s="310" t="s">
        <v>235</v>
      </c>
      <c r="C25" s="124" t="s">
        <v>1338</v>
      </c>
      <c r="D25" s="748"/>
      <c r="E25" s="749"/>
      <c r="F25" s="748"/>
      <c r="G25" s="749"/>
      <c r="H25" s="748"/>
      <c r="I25" s="749"/>
      <c r="J25" s="748"/>
      <c r="K25" s="749"/>
      <c r="L25" s="748"/>
      <c r="M25" s="749"/>
      <c r="N25" s="748"/>
      <c r="O25" s="749"/>
      <c r="P25" s="748"/>
      <c r="Q25" s="749"/>
      <c r="R25" s="748"/>
      <c r="S25" s="749"/>
      <c r="T25" s="290"/>
      <c r="U25" s="70">
        <f>IF(OR(D25="s",F25="s",H25="s",J25="s",L25="s",N25="s",P25="s",R25="s"), 0, IF(OR(D25="a",F25="a",H25="a",J25="a",L25="a",N25="a",P25="a",R25="a"),V25,0))</f>
        <v>0</v>
      </c>
      <c r="V25" s="556">
        <v>10</v>
      </c>
      <c r="W25" s="82">
        <f>COUNTIF(D25:S25,"a")+COUNTIF(D25:S25,"s")</f>
        <v>0</v>
      </c>
      <c r="X25" s="720"/>
      <c r="Y25" s="699"/>
      <c r="Z25" s="697" t="s">
        <v>656</v>
      </c>
      <c r="AA25" s="698"/>
    </row>
    <row r="26" spans="1:27" ht="45" customHeight="1" x14ac:dyDescent="0.2">
      <c r="A26" s="421"/>
      <c r="B26" s="554" t="s">
        <v>234</v>
      </c>
      <c r="C26" s="124" t="s">
        <v>1341</v>
      </c>
      <c r="D26" s="742"/>
      <c r="E26" s="743"/>
      <c r="F26" s="742"/>
      <c r="G26" s="743"/>
      <c r="H26" s="742"/>
      <c r="I26" s="743"/>
      <c r="J26" s="742"/>
      <c r="K26" s="743"/>
      <c r="L26" s="742"/>
      <c r="M26" s="743"/>
      <c r="N26" s="742"/>
      <c r="O26" s="743"/>
      <c r="P26" s="742"/>
      <c r="Q26" s="743"/>
      <c r="R26" s="744"/>
      <c r="S26" s="745"/>
      <c r="T26" s="69"/>
      <c r="U26" s="67">
        <f t="shared" ref="U26:U27" si="2">IF(OR(D26="s",F26="s",H26="s",J26="s",L26="s",N26="s",P26="s",R26="s"), 0, IF(OR(D26="a",F26="a",H26="a",J26="a",L26="a",N26="a",P26="a",R26="a"),V26,0))</f>
        <v>0</v>
      </c>
      <c r="V26" s="417">
        <v>15</v>
      </c>
      <c r="W26" s="82">
        <f>IF((COUNTIF(D26:S26,"a")+COUNTIF(D26:S26,"s"))&gt;0,IF(OR((COUNTIF(D28:S28,"a")+COUNTIF(D28:S28,"s"))),0,COUNTIF(D26:S26,"a")+COUNTIF(D26:S26,"s")),COUNTIF(D26:S26,"a")+COUNTIF(D26:S26,"s"))</f>
        <v>0</v>
      </c>
      <c r="X26" s="717"/>
      <c r="Y26" s="699"/>
      <c r="Z26" s="697"/>
      <c r="AA26" s="698"/>
    </row>
    <row r="27" spans="1:27" ht="45" customHeight="1" x14ac:dyDescent="0.2">
      <c r="A27" s="421"/>
      <c r="B27" s="554" t="s">
        <v>1331</v>
      </c>
      <c r="C27" s="124" t="s">
        <v>1651</v>
      </c>
      <c r="D27" s="742"/>
      <c r="E27" s="743"/>
      <c r="F27" s="742"/>
      <c r="G27" s="743"/>
      <c r="H27" s="742"/>
      <c r="I27" s="743"/>
      <c r="J27" s="742"/>
      <c r="K27" s="743"/>
      <c r="L27" s="742"/>
      <c r="M27" s="743"/>
      <c r="N27" s="742"/>
      <c r="O27" s="743"/>
      <c r="P27" s="742"/>
      <c r="Q27" s="743"/>
      <c r="R27" s="742"/>
      <c r="S27" s="743"/>
      <c r="T27" s="291"/>
      <c r="U27" s="67">
        <f t="shared" si="2"/>
        <v>0</v>
      </c>
      <c r="V27" s="417">
        <v>10</v>
      </c>
      <c r="W27" s="82">
        <f>IF((COUNTIF(D27:S27,"a")+COUNTIF(D27:S27,"s"))&gt;0,IF(OR((COUNTIF(D28:S28,"a")+COUNTIF(D28:S28,"s"))),0,COUNTIF(D27:S27,"a")+COUNTIF(D27:S27,"s")),COUNTIF(D27:S27,"a")+COUNTIF(D27:S27,"s"))</f>
        <v>0</v>
      </c>
      <c r="X27" s="717"/>
      <c r="Y27" s="699"/>
      <c r="Z27" s="697" t="s">
        <v>656</v>
      </c>
      <c r="AA27" s="698"/>
    </row>
    <row r="28" spans="1:27" ht="67.7" customHeight="1" thickBot="1" x14ac:dyDescent="0.25">
      <c r="A28" s="421"/>
      <c r="B28" s="320" t="s">
        <v>1332</v>
      </c>
      <c r="C28" s="253" t="s">
        <v>1339</v>
      </c>
      <c r="D28" s="751"/>
      <c r="E28" s="752"/>
      <c r="F28" s="751"/>
      <c r="G28" s="752"/>
      <c r="H28" s="751"/>
      <c r="I28" s="752"/>
      <c r="J28" s="751"/>
      <c r="K28" s="752"/>
      <c r="L28" s="751"/>
      <c r="M28" s="752"/>
      <c r="N28" s="751"/>
      <c r="O28" s="752"/>
      <c r="P28" s="751"/>
      <c r="Q28" s="752"/>
      <c r="R28" s="751"/>
      <c r="S28" s="752"/>
      <c r="T28" s="73"/>
      <c r="U28" s="109">
        <f>IF(OR(D28="s",F28="s",H28="s",J28="s",L28="s",N28="s",P28="s",R28="s"), 0, IF(OR(D28="a",F28="a",H28="a",J28="a",L28="a",N28="a",P28="a",R28="a"),V28,0))</f>
        <v>0</v>
      </c>
      <c r="V28" s="417">
        <v>25</v>
      </c>
      <c r="W28" s="82">
        <f>IF((COUNTIF(D28:S28,"a")+COUNTIF(D28:S28,"s"))&gt;0,IF(OR((COUNTIF(D26:S27,"a")+COUNTIF(D26:S27,"s"))),0,COUNTIF(D28:S28,"a")+COUNTIF(D28:S28,"s")),COUNTIF(D28:S28,"a")+COUNTIF(D28:S28,"s"))</f>
        <v>0</v>
      </c>
      <c r="X28" s="717"/>
      <c r="Z28" s="697"/>
      <c r="AA28" s="698"/>
    </row>
    <row r="29" spans="1:27" ht="21" customHeight="1" thickTop="1" thickBot="1" x14ac:dyDescent="0.25">
      <c r="A29" s="433"/>
      <c r="B29" s="169"/>
      <c r="C29" s="163"/>
      <c r="D29" s="750" t="s">
        <v>662</v>
      </c>
      <c r="E29" s="779"/>
      <c r="F29" s="779"/>
      <c r="G29" s="779"/>
      <c r="H29" s="779"/>
      <c r="I29" s="779"/>
      <c r="J29" s="779"/>
      <c r="K29" s="779"/>
      <c r="L29" s="779"/>
      <c r="M29" s="779"/>
      <c r="N29" s="779"/>
      <c r="O29" s="779"/>
      <c r="P29" s="779"/>
      <c r="Q29" s="779"/>
      <c r="R29" s="779"/>
      <c r="S29" s="779"/>
      <c r="T29" s="780"/>
      <c r="U29" s="2">
        <f>SUM(U25:U28)</f>
        <v>0</v>
      </c>
      <c r="V29" s="418">
        <f>SUM(V25:V27)</f>
        <v>35</v>
      </c>
      <c r="W29" s="82"/>
      <c r="Z29" s="697"/>
      <c r="AA29" s="698"/>
    </row>
    <row r="30" spans="1:27" ht="21" customHeight="1" thickBot="1" x14ac:dyDescent="0.25">
      <c r="A30" s="189"/>
      <c r="B30" s="115"/>
      <c r="C30" s="458"/>
      <c r="D30" s="945"/>
      <c r="E30" s="741"/>
      <c r="F30" s="823">
        <v>20</v>
      </c>
      <c r="G30" s="746"/>
      <c r="H30" s="746"/>
      <c r="I30" s="746"/>
      <c r="J30" s="746"/>
      <c r="K30" s="746"/>
      <c r="L30" s="746"/>
      <c r="M30" s="746"/>
      <c r="N30" s="746"/>
      <c r="O30" s="746"/>
      <c r="P30" s="746"/>
      <c r="Q30" s="746"/>
      <c r="R30" s="746"/>
      <c r="S30" s="746"/>
      <c r="T30" s="746"/>
      <c r="U30" s="746"/>
      <c r="V30" s="747"/>
      <c r="W30" s="82"/>
      <c r="Z30" s="697"/>
      <c r="AA30" s="698"/>
    </row>
    <row r="31" spans="1:27" ht="30" customHeight="1" thickBot="1" x14ac:dyDescent="0.25">
      <c r="A31" s="531"/>
      <c r="B31" s="316">
        <v>1500</v>
      </c>
      <c r="C31" s="457" t="s">
        <v>712</v>
      </c>
      <c r="D31" s="550" t="s">
        <v>661</v>
      </c>
      <c r="E31" s="99"/>
      <c r="F31" s="550" t="s">
        <v>661</v>
      </c>
      <c r="G31" s="549"/>
      <c r="H31" s="379" t="s">
        <v>661</v>
      </c>
      <c r="I31" s="99"/>
      <c r="J31" s="550"/>
      <c r="K31" s="549"/>
      <c r="L31" s="379" t="s">
        <v>661</v>
      </c>
      <c r="M31" s="99"/>
      <c r="N31" s="550" t="s">
        <v>661</v>
      </c>
      <c r="O31" s="549"/>
      <c r="P31" s="379"/>
      <c r="Q31" s="99"/>
      <c r="R31" s="550"/>
      <c r="S31" s="549"/>
      <c r="T31" s="372"/>
      <c r="U31" s="393"/>
      <c r="V31" s="373"/>
      <c r="W31" s="82"/>
      <c r="Z31" s="697"/>
      <c r="AA31" s="698"/>
    </row>
    <row r="32" spans="1:27" ht="27.95" customHeight="1" x14ac:dyDescent="0.2">
      <c r="A32" s="452"/>
      <c r="B32" s="319" t="s">
        <v>673</v>
      </c>
      <c r="C32" s="127" t="s">
        <v>1182</v>
      </c>
      <c r="D32" s="742"/>
      <c r="E32" s="743"/>
      <c r="F32" s="742"/>
      <c r="G32" s="743"/>
      <c r="H32" s="742"/>
      <c r="I32" s="743"/>
      <c r="J32" s="742"/>
      <c r="K32" s="743"/>
      <c r="L32" s="742"/>
      <c r="M32" s="743"/>
      <c r="N32" s="742"/>
      <c r="O32" s="743"/>
      <c r="P32" s="742"/>
      <c r="Q32" s="743"/>
      <c r="R32" s="742"/>
      <c r="S32" s="743"/>
      <c r="T32" s="69"/>
      <c r="U32" s="67">
        <f t="shared" ref="U32:U34" si="3">IF(OR(D32="s",F32="s",H32="s",J32="s",L32="s",N32="s",P32="s",R32="s"), 0, IF(OR(D32="a",F32="a",H32="a",J32="a",L32="a",N32="a",P32="a",R32="a"),V32,0))</f>
        <v>0</v>
      </c>
      <c r="V32" s="417">
        <v>5</v>
      </c>
      <c r="W32" s="82">
        <f t="shared" ref="W32:W34" si="4">COUNTIF(D32:S32,"a")+COUNTIF(D32:S32,"s")</f>
        <v>0</v>
      </c>
      <c r="X32" s="717"/>
      <c r="Z32" s="697" t="s">
        <v>656</v>
      </c>
      <c r="AA32" s="698"/>
    </row>
    <row r="33" spans="1:27" ht="27.95" customHeight="1" x14ac:dyDescent="0.2">
      <c r="A33" s="452"/>
      <c r="B33" s="319" t="s">
        <v>960</v>
      </c>
      <c r="C33" s="273" t="s">
        <v>1183</v>
      </c>
      <c r="D33" s="742"/>
      <c r="E33" s="743"/>
      <c r="F33" s="742"/>
      <c r="G33" s="743"/>
      <c r="H33" s="742"/>
      <c r="I33" s="743"/>
      <c r="J33" s="742"/>
      <c r="K33" s="743"/>
      <c r="L33" s="742"/>
      <c r="M33" s="743"/>
      <c r="N33" s="742"/>
      <c r="O33" s="743"/>
      <c r="P33" s="742"/>
      <c r="Q33" s="743"/>
      <c r="R33" s="742"/>
      <c r="S33" s="743"/>
      <c r="T33" s="69"/>
      <c r="U33" s="67">
        <f t="shared" si="3"/>
        <v>0</v>
      </c>
      <c r="V33" s="417">
        <v>10</v>
      </c>
      <c r="W33" s="82">
        <f t="shared" si="4"/>
        <v>0</v>
      </c>
      <c r="X33" s="717"/>
      <c r="Z33" s="697" t="s">
        <v>656</v>
      </c>
      <c r="AA33" s="698"/>
    </row>
    <row r="34" spans="1:27" ht="27.95" customHeight="1" thickBot="1" x14ac:dyDescent="0.25">
      <c r="A34" s="452"/>
      <c r="B34" s="319" t="s">
        <v>674</v>
      </c>
      <c r="C34" s="273" t="s">
        <v>8</v>
      </c>
      <c r="D34" s="742"/>
      <c r="E34" s="743"/>
      <c r="F34" s="742"/>
      <c r="G34" s="743"/>
      <c r="H34" s="742"/>
      <c r="I34" s="743"/>
      <c r="J34" s="742"/>
      <c r="K34" s="743"/>
      <c r="L34" s="742"/>
      <c r="M34" s="743"/>
      <c r="N34" s="742"/>
      <c r="O34" s="743"/>
      <c r="P34" s="742"/>
      <c r="Q34" s="743"/>
      <c r="R34" s="742"/>
      <c r="S34" s="743"/>
      <c r="T34" s="69"/>
      <c r="U34" s="68">
        <f t="shared" si="3"/>
        <v>0</v>
      </c>
      <c r="V34" s="417">
        <v>15</v>
      </c>
      <c r="W34" s="82">
        <f t="shared" si="4"/>
        <v>0</v>
      </c>
      <c r="X34" s="717"/>
      <c r="Z34" s="697"/>
      <c r="AA34" s="698"/>
    </row>
    <row r="35" spans="1:27" ht="21" customHeight="1" thickTop="1" thickBot="1" x14ac:dyDescent="0.25">
      <c r="A35" s="452"/>
      <c r="B35" s="75"/>
      <c r="C35" s="164"/>
      <c r="D35" s="750" t="s">
        <v>662</v>
      </c>
      <c r="E35" s="779"/>
      <c r="F35" s="779"/>
      <c r="G35" s="779"/>
      <c r="H35" s="779"/>
      <c r="I35" s="779"/>
      <c r="J35" s="779"/>
      <c r="K35" s="779"/>
      <c r="L35" s="779"/>
      <c r="M35" s="779"/>
      <c r="N35" s="779"/>
      <c r="O35" s="779"/>
      <c r="P35" s="779"/>
      <c r="Q35" s="779"/>
      <c r="R35" s="779"/>
      <c r="S35" s="779"/>
      <c r="T35" s="780"/>
      <c r="U35" s="2">
        <f>SUM(U32:U34)</f>
        <v>0</v>
      </c>
      <c r="V35" s="418">
        <f>SUM(V32:V34)</f>
        <v>30</v>
      </c>
      <c r="W35" s="82"/>
      <c r="X35" s="721"/>
      <c r="Z35" s="697"/>
      <c r="AA35" s="698"/>
    </row>
    <row r="36" spans="1:27" ht="21" customHeight="1" thickBot="1" x14ac:dyDescent="0.25">
      <c r="A36" s="421"/>
      <c r="B36" s="170"/>
      <c r="C36" s="165"/>
      <c r="D36" s="945"/>
      <c r="E36" s="741"/>
      <c r="F36" s="851">
        <v>15</v>
      </c>
      <c r="G36" s="746"/>
      <c r="H36" s="746"/>
      <c r="I36" s="746"/>
      <c r="J36" s="746"/>
      <c r="K36" s="746"/>
      <c r="L36" s="746"/>
      <c r="M36" s="746"/>
      <c r="N36" s="746"/>
      <c r="O36" s="746"/>
      <c r="P36" s="746"/>
      <c r="Q36" s="746"/>
      <c r="R36" s="746"/>
      <c r="S36" s="746"/>
      <c r="T36" s="746"/>
      <c r="U36" s="746"/>
      <c r="V36" s="747"/>
      <c r="W36" s="82"/>
      <c r="Z36" s="697"/>
      <c r="AA36" s="698"/>
    </row>
    <row r="37" spans="1:27" ht="30" customHeight="1" thickBot="1" x14ac:dyDescent="0.25">
      <c r="A37" s="561"/>
      <c r="B37" s="322" t="s">
        <v>1343</v>
      </c>
      <c r="C37" s="168" t="s">
        <v>1344</v>
      </c>
      <c r="D37" s="550"/>
      <c r="E37" s="99"/>
      <c r="F37" s="550"/>
      <c r="G37" s="549"/>
      <c r="H37" s="379"/>
      <c r="I37" s="99"/>
      <c r="J37" s="550"/>
      <c r="K37" s="549"/>
      <c r="L37" s="379"/>
      <c r="M37" s="99"/>
      <c r="N37" s="550"/>
      <c r="O37" s="549"/>
      <c r="P37" s="379"/>
      <c r="Q37" s="99"/>
      <c r="R37" s="550"/>
      <c r="S37" s="549"/>
      <c r="T37" s="372"/>
      <c r="U37" s="393"/>
      <c r="V37" s="373"/>
      <c r="W37" s="82"/>
      <c r="Z37" s="697"/>
      <c r="AA37" s="698"/>
    </row>
    <row r="38" spans="1:27" ht="45" customHeight="1" x14ac:dyDescent="0.2">
      <c r="A38" s="452"/>
      <c r="B38" s="310" t="s">
        <v>1345</v>
      </c>
      <c r="C38" s="131" t="s">
        <v>1347</v>
      </c>
      <c r="D38" s="748"/>
      <c r="E38" s="749"/>
      <c r="F38" s="748"/>
      <c r="G38" s="749"/>
      <c r="H38" s="748"/>
      <c r="I38" s="749"/>
      <c r="J38" s="748"/>
      <c r="K38" s="749"/>
      <c r="L38" s="748"/>
      <c r="M38" s="749"/>
      <c r="N38" s="748"/>
      <c r="O38" s="749"/>
      <c r="P38" s="748"/>
      <c r="Q38" s="749"/>
      <c r="R38" s="748"/>
      <c r="S38" s="749"/>
      <c r="T38" s="69"/>
      <c r="U38" s="70">
        <f t="shared" ref="U38:U39" si="5">IF(OR(D38="s",F38="s",H38="s",J38="s",L38="s",N38="s",P38="s",R38="s"), 0, IF(OR(D38="a",F38="a",H38="a",J38="a",L38="a",N38="a",P38="a",R38="a"),V38,0))</f>
        <v>0</v>
      </c>
      <c r="V38" s="420">
        <v>5</v>
      </c>
      <c r="W38" s="82">
        <f t="shared" ref="W38:W39" si="6">COUNTIF(D38:S38,"a")+COUNTIF(D38:S38,"s")</f>
        <v>0</v>
      </c>
      <c r="X38" s="717"/>
      <c r="Z38" s="697"/>
      <c r="AA38" s="698"/>
    </row>
    <row r="39" spans="1:27" ht="45" customHeight="1" thickBot="1" x14ac:dyDescent="0.25">
      <c r="A39" s="452"/>
      <c r="B39" s="319" t="s">
        <v>1346</v>
      </c>
      <c r="C39" s="131" t="s">
        <v>1348</v>
      </c>
      <c r="D39" s="742"/>
      <c r="E39" s="743"/>
      <c r="F39" s="742"/>
      <c r="G39" s="743"/>
      <c r="H39" s="742"/>
      <c r="I39" s="743"/>
      <c r="J39" s="742"/>
      <c r="K39" s="743"/>
      <c r="L39" s="742"/>
      <c r="M39" s="743"/>
      <c r="N39" s="742"/>
      <c r="O39" s="743"/>
      <c r="P39" s="742"/>
      <c r="Q39" s="743"/>
      <c r="R39" s="742"/>
      <c r="S39" s="743"/>
      <c r="T39" s="69"/>
      <c r="U39" s="67">
        <f t="shared" si="5"/>
        <v>0</v>
      </c>
      <c r="V39" s="417">
        <v>5</v>
      </c>
      <c r="W39" s="82">
        <f t="shared" si="6"/>
        <v>0</v>
      </c>
      <c r="X39" s="717"/>
      <c r="Z39" s="697"/>
      <c r="AA39" s="698"/>
    </row>
    <row r="40" spans="1:27" ht="21" customHeight="1" thickTop="1" thickBot="1" x14ac:dyDescent="0.25">
      <c r="A40" s="452"/>
      <c r="B40" s="75"/>
      <c r="C40" s="164"/>
      <c r="D40" s="750" t="s">
        <v>662</v>
      </c>
      <c r="E40" s="779"/>
      <c r="F40" s="779"/>
      <c r="G40" s="779"/>
      <c r="H40" s="779"/>
      <c r="I40" s="779"/>
      <c r="J40" s="779"/>
      <c r="K40" s="779"/>
      <c r="L40" s="779"/>
      <c r="M40" s="779"/>
      <c r="N40" s="779"/>
      <c r="O40" s="779"/>
      <c r="P40" s="779"/>
      <c r="Q40" s="779"/>
      <c r="R40" s="779"/>
      <c r="S40" s="779"/>
      <c r="T40" s="780"/>
      <c r="U40" s="2">
        <f>SUM(U38:U39)</f>
        <v>0</v>
      </c>
      <c r="V40" s="418">
        <f>SUM(V38:V39)</f>
        <v>10</v>
      </c>
      <c r="W40" s="82"/>
      <c r="X40" s="721"/>
      <c r="Z40" s="697"/>
      <c r="AA40" s="698"/>
    </row>
    <row r="41" spans="1:27" ht="21" customHeight="1" thickBot="1" x14ac:dyDescent="0.25">
      <c r="A41" s="421"/>
      <c r="B41" s="170"/>
      <c r="C41" s="165"/>
      <c r="D41" s="945"/>
      <c r="E41" s="741"/>
      <c r="F41" s="820">
        <v>0</v>
      </c>
      <c r="G41" s="821"/>
      <c r="H41" s="821"/>
      <c r="I41" s="821"/>
      <c r="J41" s="821"/>
      <c r="K41" s="821"/>
      <c r="L41" s="821"/>
      <c r="M41" s="821"/>
      <c r="N41" s="821"/>
      <c r="O41" s="821"/>
      <c r="P41" s="821"/>
      <c r="Q41" s="821"/>
      <c r="R41" s="821"/>
      <c r="S41" s="821"/>
      <c r="T41" s="821"/>
      <c r="U41" s="821"/>
      <c r="V41" s="822"/>
      <c r="W41" s="82"/>
      <c r="Z41" s="697"/>
      <c r="AA41" s="698"/>
    </row>
    <row r="42" spans="1:27" ht="30" customHeight="1" thickBot="1" x14ac:dyDescent="0.25">
      <c r="A42" s="421"/>
      <c r="B42" s="322" t="s">
        <v>961</v>
      </c>
      <c r="C42" s="146" t="s">
        <v>41</v>
      </c>
      <c r="D42" s="26" t="s">
        <v>661</v>
      </c>
      <c r="E42" s="37"/>
      <c r="F42" s="26"/>
      <c r="G42" s="37"/>
      <c r="H42" s="26"/>
      <c r="I42" s="35"/>
      <c r="J42" s="25"/>
      <c r="K42" s="37"/>
      <c r="L42" s="26" t="s">
        <v>661</v>
      </c>
      <c r="M42" s="35"/>
      <c r="N42" s="26"/>
      <c r="O42" s="35"/>
      <c r="P42" s="26"/>
      <c r="Q42" s="35"/>
      <c r="R42" s="26"/>
      <c r="S42" s="35"/>
      <c r="T42" s="32"/>
      <c r="U42" s="33"/>
      <c r="V42" s="419"/>
      <c r="W42" s="82"/>
      <c r="Z42" s="697"/>
      <c r="AA42" s="698"/>
    </row>
    <row r="43" spans="1:27" ht="27.95" customHeight="1" x14ac:dyDescent="0.2">
      <c r="A43" s="421"/>
      <c r="B43" s="315" t="s">
        <v>675</v>
      </c>
      <c r="C43" s="162" t="s">
        <v>129</v>
      </c>
      <c r="D43" s="748"/>
      <c r="E43" s="749"/>
      <c r="F43" s="748"/>
      <c r="G43" s="749"/>
      <c r="H43" s="748"/>
      <c r="I43" s="749"/>
      <c r="J43" s="748"/>
      <c r="K43" s="749"/>
      <c r="L43" s="748"/>
      <c r="M43" s="749"/>
      <c r="N43" s="748"/>
      <c r="O43" s="749"/>
      <c r="P43" s="748"/>
      <c r="Q43" s="749"/>
      <c r="R43" s="748"/>
      <c r="S43" s="749"/>
      <c r="T43" s="112"/>
      <c r="U43" s="70">
        <f>IF(OR(D43="s",F43="s",H43="s",J43="s",L43="s",N43="s",P43="s",R43="s"), 0, IF(OR(D43="a",F43="a",H43="a",J43="a",L43="a",N43="a",P43="a",R43="a",T43="NA"),V43,0))</f>
        <v>0</v>
      </c>
      <c r="V43" s="425">
        <v>10</v>
      </c>
      <c r="W43" s="82">
        <f>COUNTIF(D43:S43,"a")+COUNTIF(D43:S43,"s")+COUNTIF(T43,"NA")</f>
        <v>0</v>
      </c>
      <c r="X43" s="717"/>
      <c r="Z43" s="697"/>
      <c r="AA43" s="698"/>
    </row>
    <row r="44" spans="1:27" ht="45" customHeight="1" x14ac:dyDescent="0.2">
      <c r="A44" s="421"/>
      <c r="B44" s="319" t="s">
        <v>203</v>
      </c>
      <c r="C44" s="131" t="s">
        <v>843</v>
      </c>
      <c r="D44" s="742"/>
      <c r="E44" s="743"/>
      <c r="F44" s="742"/>
      <c r="G44" s="743"/>
      <c r="H44" s="742"/>
      <c r="I44" s="743"/>
      <c r="J44" s="742"/>
      <c r="K44" s="743"/>
      <c r="L44" s="742"/>
      <c r="M44" s="743"/>
      <c r="N44" s="742"/>
      <c r="O44" s="743"/>
      <c r="P44" s="742"/>
      <c r="Q44" s="743"/>
      <c r="R44" s="742"/>
      <c r="S44" s="743"/>
      <c r="T44" s="69"/>
      <c r="U44" s="67">
        <f t="shared" ref="U44:U49" si="7">IF(OR(D44="s",F44="s",H44="s",J44="s",L44="s",N44="s",P44="s",R44="s"), 0, IF(OR(D44="a",F44="a",H44="a",J44="a",L44="a",N44="a",P44="a",R44="a"),V44,0))</f>
        <v>0</v>
      </c>
      <c r="V44" s="417">
        <v>5</v>
      </c>
      <c r="W44" s="82">
        <f t="shared" ref="W44:W49" si="8">COUNTIF(D44:S44,"a")+COUNTIF(D44:S44,"s")</f>
        <v>0</v>
      </c>
      <c r="X44" s="717"/>
      <c r="Z44" s="697" t="s">
        <v>656</v>
      </c>
      <c r="AA44" s="698"/>
    </row>
    <row r="45" spans="1:27" ht="27.95" customHeight="1" x14ac:dyDescent="0.2">
      <c r="A45" s="421"/>
      <c r="B45" s="319" t="s">
        <v>204</v>
      </c>
      <c r="C45" s="131" t="s">
        <v>93</v>
      </c>
      <c r="D45" s="742"/>
      <c r="E45" s="743"/>
      <c r="F45" s="742"/>
      <c r="G45" s="743"/>
      <c r="H45" s="742"/>
      <c r="I45" s="743"/>
      <c r="J45" s="742"/>
      <c r="K45" s="743"/>
      <c r="L45" s="742"/>
      <c r="M45" s="743"/>
      <c r="N45" s="742"/>
      <c r="O45" s="743"/>
      <c r="P45" s="742"/>
      <c r="Q45" s="743"/>
      <c r="R45" s="742"/>
      <c r="S45" s="743"/>
      <c r="T45" s="69"/>
      <c r="U45" s="67">
        <f t="shared" si="7"/>
        <v>0</v>
      </c>
      <c r="V45" s="417">
        <v>5</v>
      </c>
      <c r="W45" s="82">
        <f t="shared" si="8"/>
        <v>0</v>
      </c>
      <c r="X45" s="717"/>
      <c r="Z45" s="697" t="s">
        <v>656</v>
      </c>
      <c r="AA45" s="698"/>
    </row>
    <row r="46" spans="1:27" ht="45" customHeight="1" x14ac:dyDescent="0.2">
      <c r="A46" s="421"/>
      <c r="B46" s="310" t="s">
        <v>676</v>
      </c>
      <c r="C46" s="124" t="s">
        <v>677</v>
      </c>
      <c r="D46" s="742"/>
      <c r="E46" s="743"/>
      <c r="F46" s="742"/>
      <c r="G46" s="743"/>
      <c r="H46" s="742"/>
      <c r="I46" s="743"/>
      <c r="J46" s="742"/>
      <c r="K46" s="743"/>
      <c r="L46" s="742"/>
      <c r="M46" s="743"/>
      <c r="N46" s="742"/>
      <c r="O46" s="743"/>
      <c r="P46" s="742"/>
      <c r="Q46" s="743"/>
      <c r="R46" s="742"/>
      <c r="S46" s="743"/>
      <c r="T46" s="69"/>
      <c r="U46" s="67">
        <f t="shared" si="7"/>
        <v>0</v>
      </c>
      <c r="V46" s="446">
        <v>10</v>
      </c>
      <c r="W46" s="82">
        <f t="shared" si="8"/>
        <v>0</v>
      </c>
      <c r="X46" s="717"/>
      <c r="Z46" s="697"/>
      <c r="AA46" s="698"/>
    </row>
    <row r="47" spans="1:27" ht="27.95" customHeight="1" x14ac:dyDescent="0.2">
      <c r="A47" s="421"/>
      <c r="B47" s="319" t="s">
        <v>1078</v>
      </c>
      <c r="C47" s="131" t="s">
        <v>94</v>
      </c>
      <c r="D47" s="742"/>
      <c r="E47" s="743"/>
      <c r="F47" s="742"/>
      <c r="G47" s="743"/>
      <c r="H47" s="742"/>
      <c r="I47" s="743"/>
      <c r="J47" s="742"/>
      <c r="K47" s="743"/>
      <c r="L47" s="742"/>
      <c r="M47" s="743"/>
      <c r="N47" s="742"/>
      <c r="O47" s="743"/>
      <c r="P47" s="742"/>
      <c r="Q47" s="743"/>
      <c r="R47" s="742"/>
      <c r="S47" s="743"/>
      <c r="T47" s="69"/>
      <c r="U47" s="67">
        <f t="shared" si="7"/>
        <v>0</v>
      </c>
      <c r="V47" s="446">
        <v>10</v>
      </c>
      <c r="W47" s="82">
        <f t="shared" si="8"/>
        <v>0</v>
      </c>
      <c r="X47" s="717"/>
      <c r="Z47" s="697" t="s">
        <v>656</v>
      </c>
      <c r="AA47" s="698"/>
    </row>
    <row r="48" spans="1:27" ht="27.95" customHeight="1" x14ac:dyDescent="0.2">
      <c r="A48" s="421"/>
      <c r="B48" s="319" t="s">
        <v>1061</v>
      </c>
      <c r="C48" s="131" t="s">
        <v>5</v>
      </c>
      <c r="D48" s="742"/>
      <c r="E48" s="743"/>
      <c r="F48" s="742"/>
      <c r="G48" s="743"/>
      <c r="H48" s="742"/>
      <c r="I48" s="743"/>
      <c r="J48" s="742"/>
      <c r="K48" s="743"/>
      <c r="L48" s="742"/>
      <c r="M48" s="743"/>
      <c r="N48" s="742"/>
      <c r="O48" s="743"/>
      <c r="P48" s="742"/>
      <c r="Q48" s="743"/>
      <c r="R48" s="742"/>
      <c r="S48" s="743"/>
      <c r="T48" s="69"/>
      <c r="U48" s="67">
        <f t="shared" si="7"/>
        <v>0</v>
      </c>
      <c r="V48" s="447">
        <v>10</v>
      </c>
      <c r="W48" s="82">
        <f t="shared" si="8"/>
        <v>0</v>
      </c>
      <c r="X48" s="717"/>
      <c r="Z48" s="697"/>
      <c r="AA48" s="698"/>
    </row>
    <row r="49" spans="1:27" ht="27.95" customHeight="1" thickBot="1" x14ac:dyDescent="0.25">
      <c r="A49" s="421"/>
      <c r="B49" s="319" t="s">
        <v>1062</v>
      </c>
      <c r="C49" s="131" t="s">
        <v>95</v>
      </c>
      <c r="D49" s="751"/>
      <c r="E49" s="752"/>
      <c r="F49" s="751"/>
      <c r="G49" s="752"/>
      <c r="H49" s="751"/>
      <c r="I49" s="752"/>
      <c r="J49" s="751"/>
      <c r="K49" s="752"/>
      <c r="L49" s="751"/>
      <c r="M49" s="752"/>
      <c r="N49" s="751"/>
      <c r="O49" s="752"/>
      <c r="P49" s="751"/>
      <c r="Q49" s="752"/>
      <c r="R49" s="751"/>
      <c r="S49" s="752"/>
      <c r="T49" s="69"/>
      <c r="U49" s="68">
        <f t="shared" si="7"/>
        <v>0</v>
      </c>
      <c r="V49" s="447">
        <v>10</v>
      </c>
      <c r="W49" s="82">
        <f t="shared" si="8"/>
        <v>0</v>
      </c>
      <c r="X49" s="717"/>
      <c r="Z49" s="697" t="s">
        <v>656</v>
      </c>
      <c r="AA49" s="698"/>
    </row>
    <row r="50" spans="1:27" ht="21" customHeight="1" thickTop="1" thickBot="1" x14ac:dyDescent="0.25">
      <c r="A50" s="421"/>
      <c r="B50" s="80"/>
      <c r="C50" s="164"/>
      <c r="D50" s="750" t="s">
        <v>662</v>
      </c>
      <c r="E50" s="779"/>
      <c r="F50" s="779"/>
      <c r="G50" s="779"/>
      <c r="H50" s="779"/>
      <c r="I50" s="779"/>
      <c r="J50" s="779"/>
      <c r="K50" s="779"/>
      <c r="L50" s="779"/>
      <c r="M50" s="779"/>
      <c r="N50" s="779"/>
      <c r="O50" s="779"/>
      <c r="P50" s="779"/>
      <c r="Q50" s="779"/>
      <c r="R50" s="779"/>
      <c r="S50" s="779"/>
      <c r="T50" s="780"/>
      <c r="U50" s="2">
        <f>SUM(U43:U49)</f>
        <v>0</v>
      </c>
      <c r="V50" s="418">
        <f>SUM(V43:V49)</f>
        <v>60</v>
      </c>
      <c r="W50" s="82"/>
      <c r="X50" s="721"/>
      <c r="Z50" s="697"/>
      <c r="AA50" s="698"/>
    </row>
    <row r="51" spans="1:27" ht="21" customHeight="1" thickBot="1" x14ac:dyDescent="0.25">
      <c r="A51" s="411"/>
      <c r="B51" s="115"/>
      <c r="C51" s="559"/>
      <c r="D51" s="945"/>
      <c r="E51" s="741"/>
      <c r="F51" s="819">
        <v>30</v>
      </c>
      <c r="G51" s="746"/>
      <c r="H51" s="746"/>
      <c r="I51" s="746"/>
      <c r="J51" s="746"/>
      <c r="K51" s="746"/>
      <c r="L51" s="746"/>
      <c r="M51" s="746"/>
      <c r="N51" s="746"/>
      <c r="O51" s="746"/>
      <c r="P51" s="746"/>
      <c r="Q51" s="746"/>
      <c r="R51" s="746"/>
      <c r="S51" s="746"/>
      <c r="T51" s="746"/>
      <c r="U51" s="746"/>
      <c r="V51" s="747"/>
      <c r="W51" s="82"/>
      <c r="Z51" s="697"/>
      <c r="AA51" s="698"/>
    </row>
    <row r="52" spans="1:27" ht="30" customHeight="1" thickBot="1" x14ac:dyDescent="0.25">
      <c r="A52" s="408"/>
      <c r="B52" s="316" t="s">
        <v>1329</v>
      </c>
      <c r="C52" s="251" t="s">
        <v>1330</v>
      </c>
      <c r="D52" s="550"/>
      <c r="E52" s="99"/>
      <c r="F52" s="550"/>
      <c r="G52" s="99"/>
      <c r="H52" s="550"/>
      <c r="I52" s="549"/>
      <c r="J52" s="249"/>
      <c r="K52" s="99"/>
      <c r="L52" s="550"/>
      <c r="M52" s="549"/>
      <c r="N52" s="550"/>
      <c r="O52" s="549"/>
      <c r="P52" s="550"/>
      <c r="Q52" s="549"/>
      <c r="R52" s="550"/>
      <c r="S52" s="549"/>
      <c r="T52" s="390"/>
      <c r="U52" s="374"/>
      <c r="V52" s="414"/>
      <c r="W52" s="82"/>
      <c r="Z52" s="697"/>
      <c r="AA52" s="698"/>
    </row>
    <row r="53" spans="1:27" ht="45" customHeight="1" x14ac:dyDescent="0.2">
      <c r="A53" s="421"/>
      <c r="B53" s="315" t="s">
        <v>1334</v>
      </c>
      <c r="C53" s="162" t="s">
        <v>1675</v>
      </c>
      <c r="D53" s="748"/>
      <c r="E53" s="749"/>
      <c r="F53" s="748"/>
      <c r="G53" s="749"/>
      <c r="H53" s="748"/>
      <c r="I53" s="749"/>
      <c r="J53" s="748"/>
      <c r="K53" s="749"/>
      <c r="L53" s="748"/>
      <c r="M53" s="749"/>
      <c r="N53" s="748"/>
      <c r="O53" s="749"/>
      <c r="P53" s="748"/>
      <c r="Q53" s="749"/>
      <c r="R53" s="748"/>
      <c r="S53" s="749"/>
      <c r="T53" s="555"/>
      <c r="U53" s="70">
        <f>IF(OR(D53="s",F53="s",H53="s",J53="s",L53="s",N53="s",P53="s",R53="s"), 0, IF(OR(D53="a",F53="a",H53="a",J53="a",L53="a",N53="a",P53="a",R53="a",T53="NA"),V53,0))</f>
        <v>0</v>
      </c>
      <c r="V53" s="425">
        <v>10</v>
      </c>
      <c r="W53" s="82">
        <f>COUNTIF(D53:S53,"a")+COUNTIF(D53:S53,"s")</f>
        <v>0</v>
      </c>
      <c r="X53" s="717"/>
      <c r="Z53" s="697" t="s">
        <v>656</v>
      </c>
      <c r="AA53" s="698"/>
    </row>
    <row r="54" spans="1:27" ht="45" customHeight="1" x14ac:dyDescent="0.2">
      <c r="A54" s="421"/>
      <c r="B54" s="319" t="s">
        <v>1335</v>
      </c>
      <c r="C54" s="131" t="s">
        <v>1336</v>
      </c>
      <c r="D54" s="742"/>
      <c r="E54" s="743"/>
      <c r="F54" s="742"/>
      <c r="G54" s="743"/>
      <c r="H54" s="742"/>
      <c r="I54" s="743"/>
      <c r="J54" s="742"/>
      <c r="K54" s="743"/>
      <c r="L54" s="742"/>
      <c r="M54" s="743"/>
      <c r="N54" s="742"/>
      <c r="O54" s="743"/>
      <c r="P54" s="742"/>
      <c r="Q54" s="743"/>
      <c r="R54" s="742"/>
      <c r="S54" s="743"/>
      <c r="T54" s="69"/>
      <c r="U54" s="67">
        <f t="shared" ref="U54:U55" si="9">IF(OR(D54="s",F54="s",H54="s",J54="s",L54="s",N54="s",P54="s",R54="s"), 0, IF(OR(D54="a",F54="a",H54="a",J54="a",L54="a",N54="a",P54="a",R54="a"),V54,0))</f>
        <v>0</v>
      </c>
      <c r="V54" s="417">
        <v>5</v>
      </c>
      <c r="W54" s="82">
        <f t="shared" ref="W54:W55" si="10">COUNTIF(D54:S54,"a")+COUNTIF(D54:S54,"s")</f>
        <v>0</v>
      </c>
      <c r="X54" s="717"/>
      <c r="Z54" s="697" t="s">
        <v>1333</v>
      </c>
      <c r="AA54" s="698"/>
    </row>
    <row r="55" spans="1:27" ht="45" customHeight="1" x14ac:dyDescent="0.2">
      <c r="A55" s="421"/>
      <c r="B55" s="319" t="s">
        <v>1337</v>
      </c>
      <c r="C55" s="131" t="s">
        <v>1340</v>
      </c>
      <c r="D55" s="742"/>
      <c r="E55" s="743"/>
      <c r="F55" s="742"/>
      <c r="G55" s="743"/>
      <c r="H55" s="742"/>
      <c r="I55" s="743"/>
      <c r="J55" s="742"/>
      <c r="K55" s="743"/>
      <c r="L55" s="742"/>
      <c r="M55" s="743"/>
      <c r="N55" s="742"/>
      <c r="O55" s="743"/>
      <c r="P55" s="742"/>
      <c r="Q55" s="743"/>
      <c r="R55" s="742"/>
      <c r="S55" s="743"/>
      <c r="T55" s="69"/>
      <c r="U55" s="67">
        <f t="shared" si="9"/>
        <v>0</v>
      </c>
      <c r="V55" s="417">
        <v>5</v>
      </c>
      <c r="W55" s="82">
        <f t="shared" si="10"/>
        <v>0</v>
      </c>
      <c r="X55" s="717"/>
      <c r="Z55" s="697" t="s">
        <v>656</v>
      </c>
      <c r="AA55" s="698"/>
    </row>
    <row r="56" spans="1:27" ht="88.5" customHeight="1" x14ac:dyDescent="0.2">
      <c r="A56" s="421"/>
      <c r="B56" s="319" t="s">
        <v>1672</v>
      </c>
      <c r="C56" s="131" t="s">
        <v>1676</v>
      </c>
      <c r="D56" s="742"/>
      <c r="E56" s="743"/>
      <c r="F56" s="742"/>
      <c r="G56" s="743"/>
      <c r="H56" s="742"/>
      <c r="I56" s="743"/>
      <c r="J56" s="742"/>
      <c r="K56" s="743"/>
      <c r="L56" s="742"/>
      <c r="M56" s="743"/>
      <c r="N56" s="742"/>
      <c r="O56" s="743"/>
      <c r="P56" s="742"/>
      <c r="Q56" s="743"/>
      <c r="R56" s="742"/>
      <c r="S56" s="743"/>
      <c r="T56" s="69"/>
      <c r="U56" s="67">
        <f t="shared" ref="U56" si="11">IF(OR(D56="s",F56="s",H56="s",J56="s",L56="s",N56="s",P56="s",R56="s"), 0, IF(OR(D56="a",F56="a",H56="a",J56="a",L56="a",N56="a",P56="a",R56="a"),V56,0))</f>
        <v>0</v>
      </c>
      <c r="V56" s="417">
        <v>5</v>
      </c>
      <c r="W56" s="82">
        <f t="shared" ref="W56" si="12">COUNTIF(D56:S56,"a")+COUNTIF(D56:S56,"s")</f>
        <v>0</v>
      </c>
      <c r="X56" s="717"/>
      <c r="Z56" s="697"/>
      <c r="AA56" s="698"/>
    </row>
    <row r="57" spans="1:27" ht="45" customHeight="1" x14ac:dyDescent="0.2">
      <c r="A57" s="421"/>
      <c r="B57" s="319" t="s">
        <v>1673</v>
      </c>
      <c r="C57" s="131" t="s">
        <v>1744</v>
      </c>
      <c r="D57" s="742"/>
      <c r="E57" s="743"/>
      <c r="F57" s="742"/>
      <c r="G57" s="743"/>
      <c r="H57" s="742"/>
      <c r="I57" s="743"/>
      <c r="J57" s="742"/>
      <c r="K57" s="743"/>
      <c r="L57" s="742"/>
      <c r="M57" s="743"/>
      <c r="N57" s="742"/>
      <c r="O57" s="743"/>
      <c r="P57" s="742"/>
      <c r="Q57" s="743"/>
      <c r="R57" s="742"/>
      <c r="S57" s="743"/>
      <c r="T57" s="69"/>
      <c r="U57" s="67">
        <f t="shared" ref="U57" si="13">IF(OR(D57="s",F57="s",H57="s",J57="s",L57="s",N57="s",P57="s",R57="s"), 0, IF(OR(D57="a",F57="a",H57="a",J57="a",L57="a",N57="a",P57="a",R57="a"),V57,0))</f>
        <v>0</v>
      </c>
      <c r="V57" s="417">
        <v>5</v>
      </c>
      <c r="W57" s="82">
        <f t="shared" ref="W57" si="14">COUNTIF(D57:S57,"a")+COUNTIF(D57:S57,"s")</f>
        <v>0</v>
      </c>
      <c r="X57" s="717"/>
      <c r="Z57" s="697"/>
      <c r="AA57" s="698"/>
    </row>
    <row r="58" spans="1:27" ht="45" customHeight="1" thickBot="1" x14ac:dyDescent="0.25">
      <c r="A58" s="421"/>
      <c r="B58" s="319" t="s">
        <v>1674</v>
      </c>
      <c r="C58" s="131" t="s">
        <v>1677</v>
      </c>
      <c r="D58" s="742"/>
      <c r="E58" s="743"/>
      <c r="F58" s="742"/>
      <c r="G58" s="743"/>
      <c r="H58" s="742"/>
      <c r="I58" s="743"/>
      <c r="J58" s="742"/>
      <c r="K58" s="743"/>
      <c r="L58" s="742"/>
      <c r="M58" s="743"/>
      <c r="N58" s="742"/>
      <c r="O58" s="743"/>
      <c r="P58" s="742"/>
      <c r="Q58" s="743"/>
      <c r="R58" s="742"/>
      <c r="S58" s="743"/>
      <c r="T58" s="69"/>
      <c r="U58" s="67">
        <f t="shared" ref="U58" si="15">IF(OR(D58="s",F58="s",H58="s",J58="s",L58="s",N58="s",P58="s",R58="s"), 0, IF(OR(D58="a",F58="a",H58="a",J58="a",L58="a",N58="a",P58="a",R58="a"),V58,0))</f>
        <v>0</v>
      </c>
      <c r="V58" s="417">
        <v>5</v>
      </c>
      <c r="W58" s="82">
        <f t="shared" ref="W58" si="16">COUNTIF(D58:S58,"a")+COUNTIF(D58:S58,"s")</f>
        <v>0</v>
      </c>
      <c r="X58" s="717"/>
      <c r="Z58" s="697"/>
      <c r="AA58" s="698"/>
    </row>
    <row r="59" spans="1:27" ht="21" customHeight="1" thickTop="1" thickBot="1" x14ac:dyDescent="0.25">
      <c r="A59" s="421"/>
      <c r="B59" s="80"/>
      <c r="C59" s="164"/>
      <c r="D59" s="750" t="s">
        <v>662</v>
      </c>
      <c r="E59" s="779"/>
      <c r="F59" s="779"/>
      <c r="G59" s="779"/>
      <c r="H59" s="779"/>
      <c r="I59" s="779"/>
      <c r="J59" s="779"/>
      <c r="K59" s="779"/>
      <c r="L59" s="779"/>
      <c r="M59" s="779"/>
      <c r="N59" s="779"/>
      <c r="O59" s="779"/>
      <c r="P59" s="779"/>
      <c r="Q59" s="779"/>
      <c r="R59" s="779"/>
      <c r="S59" s="779"/>
      <c r="T59" s="780"/>
      <c r="U59" s="2">
        <f>SUM(U53:U58)</f>
        <v>0</v>
      </c>
      <c r="V59" s="418">
        <f>SUM(V53:V58)</f>
        <v>35</v>
      </c>
      <c r="W59" s="82"/>
      <c r="X59" s="721"/>
      <c r="Z59" s="697"/>
      <c r="AA59" s="698"/>
    </row>
    <row r="60" spans="1:27" ht="21" customHeight="1" thickBot="1" x14ac:dyDescent="0.25">
      <c r="A60" s="411"/>
      <c r="B60" s="115"/>
      <c r="C60" s="559"/>
      <c r="D60" s="945"/>
      <c r="E60" s="741"/>
      <c r="F60" s="854">
        <v>15</v>
      </c>
      <c r="G60" s="855"/>
      <c r="H60" s="855"/>
      <c r="I60" s="855"/>
      <c r="J60" s="855"/>
      <c r="K60" s="855"/>
      <c r="L60" s="855"/>
      <c r="M60" s="855"/>
      <c r="N60" s="855"/>
      <c r="O60" s="855"/>
      <c r="P60" s="855"/>
      <c r="Q60" s="855"/>
      <c r="R60" s="855"/>
      <c r="S60" s="855"/>
      <c r="T60" s="855"/>
      <c r="U60" s="855"/>
      <c r="V60" s="856"/>
      <c r="W60" s="82"/>
      <c r="Z60" s="697"/>
      <c r="AA60" s="698"/>
    </row>
    <row r="61" spans="1:27" ht="30" customHeight="1" thickBot="1" x14ac:dyDescent="0.25">
      <c r="A61" s="408"/>
      <c r="B61" s="316" t="s">
        <v>1190</v>
      </c>
      <c r="C61" s="157" t="s">
        <v>1191</v>
      </c>
      <c r="D61" s="550"/>
      <c r="E61" s="549"/>
      <c r="F61" s="379"/>
      <c r="G61" s="99"/>
      <c r="H61" s="550"/>
      <c r="I61" s="549"/>
      <c r="J61" s="249"/>
      <c r="K61" s="99"/>
      <c r="L61" s="550"/>
      <c r="M61" s="255"/>
      <c r="N61" s="550"/>
      <c r="O61" s="256"/>
      <c r="P61" s="257"/>
      <c r="Q61" s="407"/>
      <c r="R61" s="257"/>
      <c r="S61" s="255"/>
      <c r="T61" s="390"/>
      <c r="U61" s="374"/>
      <c r="V61" s="414"/>
      <c r="W61" s="82"/>
      <c r="Z61" s="697"/>
      <c r="AA61" s="698"/>
    </row>
    <row r="62" spans="1:27" ht="27.95" customHeight="1" x14ac:dyDescent="0.2">
      <c r="A62" s="433"/>
      <c r="B62" s="318"/>
      <c r="C62" s="536" t="s">
        <v>1202</v>
      </c>
      <c r="D62" s="981"/>
      <c r="E62" s="982"/>
      <c r="F62" s="982"/>
      <c r="G62" s="982"/>
      <c r="H62" s="982"/>
      <c r="I62" s="982"/>
      <c r="J62" s="982"/>
      <c r="K62" s="982"/>
      <c r="L62" s="982"/>
      <c r="M62" s="982"/>
      <c r="N62" s="982"/>
      <c r="O62" s="982"/>
      <c r="P62" s="982"/>
      <c r="Q62" s="982"/>
      <c r="R62" s="982"/>
      <c r="S62" s="982"/>
      <c r="T62" s="982"/>
      <c r="U62" s="982"/>
      <c r="V62" s="983"/>
      <c r="W62" s="82"/>
      <c r="Z62" s="697"/>
      <c r="AA62" s="698"/>
    </row>
    <row r="63" spans="1:27" ht="45" customHeight="1" x14ac:dyDescent="0.2">
      <c r="A63" s="421"/>
      <c r="B63" s="310" t="s">
        <v>1192</v>
      </c>
      <c r="C63" s="511" t="s">
        <v>1203</v>
      </c>
      <c r="D63" s="744"/>
      <c r="E63" s="745"/>
      <c r="F63" s="744"/>
      <c r="G63" s="745"/>
      <c r="H63" s="744"/>
      <c r="I63" s="745"/>
      <c r="J63" s="744"/>
      <c r="K63" s="745"/>
      <c r="L63" s="744"/>
      <c r="M63" s="745"/>
      <c r="N63" s="744"/>
      <c r="O63" s="745"/>
      <c r="P63" s="744"/>
      <c r="Q63" s="745"/>
      <c r="R63" s="744"/>
      <c r="S63" s="745"/>
      <c r="T63" s="112" t="s">
        <v>1326</v>
      </c>
      <c r="U63" s="71">
        <f>IF(OR(D63="s",F63="s",H63="s",J63="s",L63="s",N63="s",P63="s",R63="s"), 0, IF(OR(D63="a",F63="a",H63="a",J63="a",L63="a",N63="a",P63="a",R63="a"),V63,0))</f>
        <v>0</v>
      </c>
      <c r="V63" s="446">
        <f>IF(T63="na", 0,5)</f>
        <v>0</v>
      </c>
      <c r="W63" s="82">
        <f>COUNTIF(D63:S63,"a")+COUNTIF(D63:S63,"s")+COUNTIF(T63,"NA")</f>
        <v>1</v>
      </c>
      <c r="X63" s="717"/>
      <c r="Z63" s="697" t="s">
        <v>656</v>
      </c>
      <c r="AA63" s="698"/>
    </row>
    <row r="64" spans="1:27" ht="45" customHeight="1" x14ac:dyDescent="0.2">
      <c r="A64" s="421"/>
      <c r="B64" s="319" t="s">
        <v>1193</v>
      </c>
      <c r="C64" s="512" t="s">
        <v>1204</v>
      </c>
      <c r="D64" s="742"/>
      <c r="E64" s="743"/>
      <c r="F64" s="742"/>
      <c r="G64" s="743"/>
      <c r="H64" s="742"/>
      <c r="I64" s="743"/>
      <c r="J64" s="742"/>
      <c r="K64" s="743"/>
      <c r="L64" s="742"/>
      <c r="M64" s="743"/>
      <c r="N64" s="742"/>
      <c r="O64" s="743"/>
      <c r="P64" s="742"/>
      <c r="Q64" s="743"/>
      <c r="R64" s="742"/>
      <c r="S64" s="743"/>
      <c r="T64" s="69"/>
      <c r="U64" s="67">
        <f t="shared" ref="U64:U71" si="17">IF(OR(D64="s",F64="s",H64="s",J64="s",L64="s",N64="s",P64="s",R64="s"), 0, IF(OR(D64="a",F64="a",H64="a",J64="a",L64="a",N64="a",P64="a",R64="a"),V64,0))</f>
        <v>0</v>
      </c>
      <c r="V64" s="447">
        <v>5</v>
      </c>
      <c r="W64" s="82">
        <f t="shared" ref="W64:W71" si="18">COUNTIF(D64:S64,"a")+COUNTIF(D64:S64,"s")</f>
        <v>0</v>
      </c>
      <c r="X64" s="717"/>
      <c r="Z64" s="697" t="s">
        <v>656</v>
      </c>
      <c r="AA64" s="698"/>
    </row>
    <row r="65" spans="1:27" ht="45" customHeight="1" x14ac:dyDescent="0.2">
      <c r="A65" s="421"/>
      <c r="B65" s="325" t="s">
        <v>1194</v>
      </c>
      <c r="C65" s="537" t="s">
        <v>1205</v>
      </c>
      <c r="D65" s="764"/>
      <c r="E65" s="765"/>
      <c r="F65" s="764"/>
      <c r="G65" s="765"/>
      <c r="H65" s="764"/>
      <c r="I65" s="765"/>
      <c r="J65" s="764"/>
      <c r="K65" s="765"/>
      <c r="L65" s="764"/>
      <c r="M65" s="765"/>
      <c r="N65" s="764"/>
      <c r="O65" s="765"/>
      <c r="P65" s="764"/>
      <c r="Q65" s="765"/>
      <c r="R65" s="764"/>
      <c r="S65" s="765"/>
      <c r="T65" s="538"/>
      <c r="U65" s="107">
        <f t="shared" si="17"/>
        <v>0</v>
      </c>
      <c r="V65" s="451">
        <v>10</v>
      </c>
      <c r="W65" s="82">
        <f t="shared" si="18"/>
        <v>0</v>
      </c>
      <c r="X65" s="717"/>
      <c r="Z65" s="697"/>
      <c r="AA65" s="698"/>
    </row>
    <row r="66" spans="1:27" ht="27.95" customHeight="1" x14ac:dyDescent="0.2">
      <c r="A66" s="433"/>
      <c r="B66" s="319"/>
      <c r="C66" s="661" t="s">
        <v>1195</v>
      </c>
      <c r="D66" s="947"/>
      <c r="E66" s="948"/>
      <c r="F66" s="948"/>
      <c r="G66" s="948"/>
      <c r="H66" s="948"/>
      <c r="I66" s="948"/>
      <c r="J66" s="948"/>
      <c r="K66" s="948"/>
      <c r="L66" s="948"/>
      <c r="M66" s="948"/>
      <c r="N66" s="948"/>
      <c r="O66" s="948"/>
      <c r="P66" s="948"/>
      <c r="Q66" s="948"/>
      <c r="R66" s="948"/>
      <c r="S66" s="948"/>
      <c r="T66" s="948"/>
      <c r="U66" s="948"/>
      <c r="V66" s="949"/>
      <c r="W66" s="82">
        <f t="shared" si="18"/>
        <v>0</v>
      </c>
      <c r="Z66" s="697"/>
      <c r="AA66" s="698"/>
    </row>
    <row r="67" spans="1:27" ht="27.95" customHeight="1" x14ac:dyDescent="0.2">
      <c r="A67" s="421"/>
      <c r="B67" s="310" t="s">
        <v>1196</v>
      </c>
      <c r="C67" s="516" t="s">
        <v>1206</v>
      </c>
      <c r="D67" s="744"/>
      <c r="E67" s="745"/>
      <c r="F67" s="744"/>
      <c r="G67" s="745"/>
      <c r="H67" s="744"/>
      <c r="I67" s="745"/>
      <c r="J67" s="744"/>
      <c r="K67" s="745"/>
      <c r="L67" s="744"/>
      <c r="M67" s="745"/>
      <c r="N67" s="744"/>
      <c r="O67" s="745"/>
      <c r="P67" s="744"/>
      <c r="Q67" s="745"/>
      <c r="R67" s="744"/>
      <c r="S67" s="745"/>
      <c r="T67" s="69"/>
      <c r="U67" s="71">
        <f t="shared" si="17"/>
        <v>0</v>
      </c>
      <c r="V67" s="446">
        <v>5</v>
      </c>
      <c r="W67" s="82">
        <f t="shared" si="18"/>
        <v>0</v>
      </c>
      <c r="X67" s="717"/>
      <c r="Z67" s="697"/>
      <c r="AA67" s="698"/>
    </row>
    <row r="68" spans="1:27" ht="27.95" customHeight="1" x14ac:dyDescent="0.2">
      <c r="A68" s="421"/>
      <c r="B68" s="319" t="s">
        <v>1207</v>
      </c>
      <c r="C68" s="512" t="s">
        <v>1208</v>
      </c>
      <c r="D68" s="742"/>
      <c r="E68" s="743"/>
      <c r="F68" s="742"/>
      <c r="G68" s="743"/>
      <c r="H68" s="742"/>
      <c r="I68" s="743"/>
      <c r="J68" s="742"/>
      <c r="K68" s="743"/>
      <c r="L68" s="742"/>
      <c r="M68" s="743"/>
      <c r="N68" s="742"/>
      <c r="O68" s="743"/>
      <c r="P68" s="742"/>
      <c r="Q68" s="743"/>
      <c r="R68" s="742"/>
      <c r="S68" s="743"/>
      <c r="T68" s="69"/>
      <c r="U68" s="67">
        <f t="shared" si="17"/>
        <v>0</v>
      </c>
      <c r="V68" s="447">
        <v>5</v>
      </c>
      <c r="W68" s="82">
        <f t="shared" si="18"/>
        <v>0</v>
      </c>
      <c r="X68" s="717"/>
      <c r="Z68" s="697" t="s">
        <v>656</v>
      </c>
      <c r="AA68" s="698"/>
    </row>
    <row r="69" spans="1:27" ht="27.95" customHeight="1" x14ac:dyDescent="0.2">
      <c r="A69" s="421"/>
      <c r="B69" s="319" t="s">
        <v>1209</v>
      </c>
      <c r="C69" s="512" t="s">
        <v>1210</v>
      </c>
      <c r="D69" s="742"/>
      <c r="E69" s="743"/>
      <c r="F69" s="742"/>
      <c r="G69" s="743"/>
      <c r="H69" s="742"/>
      <c r="I69" s="743"/>
      <c r="J69" s="742"/>
      <c r="K69" s="743"/>
      <c r="L69" s="742"/>
      <c r="M69" s="743"/>
      <c r="N69" s="742"/>
      <c r="O69" s="743"/>
      <c r="P69" s="742"/>
      <c r="Q69" s="743"/>
      <c r="R69" s="742"/>
      <c r="S69" s="743"/>
      <c r="T69" s="69"/>
      <c r="U69" s="67">
        <f t="shared" si="17"/>
        <v>0</v>
      </c>
      <c r="V69" s="447">
        <v>5</v>
      </c>
      <c r="W69" s="82">
        <f t="shared" si="18"/>
        <v>0</v>
      </c>
      <c r="X69" s="717"/>
      <c r="Z69" s="697" t="s">
        <v>656</v>
      </c>
      <c r="AA69" s="698"/>
    </row>
    <row r="70" spans="1:27" ht="45" customHeight="1" x14ac:dyDescent="0.2">
      <c r="A70" s="421"/>
      <c r="B70" s="319" t="s">
        <v>1211</v>
      </c>
      <c r="C70" s="512" t="s">
        <v>1212</v>
      </c>
      <c r="D70" s="742"/>
      <c r="E70" s="743"/>
      <c r="F70" s="742"/>
      <c r="G70" s="743"/>
      <c r="H70" s="742"/>
      <c r="I70" s="743"/>
      <c r="J70" s="742"/>
      <c r="K70" s="743"/>
      <c r="L70" s="742"/>
      <c r="M70" s="743"/>
      <c r="N70" s="742"/>
      <c r="O70" s="743"/>
      <c r="P70" s="742"/>
      <c r="Q70" s="743"/>
      <c r="R70" s="742"/>
      <c r="S70" s="743"/>
      <c r="T70" s="69"/>
      <c r="U70" s="67">
        <f t="shared" si="17"/>
        <v>0</v>
      </c>
      <c r="V70" s="447">
        <v>10</v>
      </c>
      <c r="W70" s="82">
        <f t="shared" si="18"/>
        <v>0</v>
      </c>
      <c r="X70" s="717"/>
      <c r="Z70" s="697"/>
      <c r="AA70" s="698"/>
    </row>
    <row r="71" spans="1:27" ht="45" customHeight="1" thickBot="1" x14ac:dyDescent="0.25">
      <c r="A71" s="421"/>
      <c r="B71" s="319" t="s">
        <v>1213</v>
      </c>
      <c r="C71" s="512" t="s">
        <v>1214</v>
      </c>
      <c r="D71" s="742"/>
      <c r="E71" s="743"/>
      <c r="F71" s="742"/>
      <c r="G71" s="743"/>
      <c r="H71" s="742"/>
      <c r="I71" s="743"/>
      <c r="J71" s="742"/>
      <c r="K71" s="743"/>
      <c r="L71" s="742"/>
      <c r="M71" s="743"/>
      <c r="N71" s="742"/>
      <c r="O71" s="743"/>
      <c r="P71" s="742"/>
      <c r="Q71" s="743"/>
      <c r="R71" s="742"/>
      <c r="S71" s="743"/>
      <c r="T71" s="69"/>
      <c r="U71" s="67">
        <f t="shared" si="17"/>
        <v>0</v>
      </c>
      <c r="V71" s="447">
        <v>10</v>
      </c>
      <c r="W71" s="82">
        <f t="shared" si="18"/>
        <v>0</v>
      </c>
      <c r="X71" s="717"/>
      <c r="Z71" s="697"/>
      <c r="AA71" s="698"/>
    </row>
    <row r="72" spans="1:27" ht="21" customHeight="1" thickTop="1" thickBot="1" x14ac:dyDescent="0.25">
      <c r="A72" s="421"/>
      <c r="B72" s="75"/>
      <c r="C72" s="164"/>
      <c r="D72" s="750" t="s">
        <v>662</v>
      </c>
      <c r="E72" s="779"/>
      <c r="F72" s="779"/>
      <c r="G72" s="779"/>
      <c r="H72" s="779"/>
      <c r="I72" s="779"/>
      <c r="J72" s="779"/>
      <c r="K72" s="779"/>
      <c r="L72" s="779"/>
      <c r="M72" s="779"/>
      <c r="N72" s="779"/>
      <c r="O72" s="779"/>
      <c r="P72" s="779"/>
      <c r="Q72" s="779"/>
      <c r="R72" s="779"/>
      <c r="S72" s="779"/>
      <c r="T72" s="780"/>
      <c r="U72" s="2">
        <f>SUM(U63:U71)</f>
        <v>0</v>
      </c>
      <c r="V72" s="449">
        <f>SUM(V63:V71)</f>
        <v>50</v>
      </c>
      <c r="W72" s="82"/>
      <c r="Z72" s="697"/>
      <c r="AA72" s="698"/>
    </row>
    <row r="73" spans="1:27" ht="21" customHeight="1" thickBot="1" x14ac:dyDescent="0.25">
      <c r="A73" s="411"/>
      <c r="B73" s="115"/>
      <c r="C73" s="466" t="s">
        <v>744</v>
      </c>
      <c r="D73" s="945"/>
      <c r="E73" s="741"/>
      <c r="F73" s="848">
        <f>IF(T63="na",15,20)</f>
        <v>15</v>
      </c>
      <c r="G73" s="849"/>
      <c r="H73" s="849"/>
      <c r="I73" s="849"/>
      <c r="J73" s="849"/>
      <c r="K73" s="849"/>
      <c r="L73" s="849"/>
      <c r="M73" s="849"/>
      <c r="N73" s="849"/>
      <c r="O73" s="849"/>
      <c r="P73" s="849"/>
      <c r="Q73" s="849"/>
      <c r="R73" s="849"/>
      <c r="S73" s="849"/>
      <c r="T73" s="849"/>
      <c r="U73" s="849"/>
      <c r="V73" s="850"/>
      <c r="W73" s="82"/>
      <c r="Z73" s="697"/>
      <c r="AA73" s="698"/>
    </row>
    <row r="74" spans="1:27" ht="30" customHeight="1" thickBot="1" x14ac:dyDescent="0.25">
      <c r="A74" s="408" t="s">
        <v>716</v>
      </c>
      <c r="B74" s="316" t="s">
        <v>1197</v>
      </c>
      <c r="C74" s="157" t="s">
        <v>1198</v>
      </c>
      <c r="D74" s="550"/>
      <c r="E74" s="549"/>
      <c r="F74" s="379"/>
      <c r="G74" s="99"/>
      <c r="H74" s="550"/>
      <c r="I74" s="549"/>
      <c r="J74" s="249"/>
      <c r="K74" s="99"/>
      <c r="L74" s="550"/>
      <c r="M74" s="255"/>
      <c r="N74" s="550"/>
      <c r="O74" s="256"/>
      <c r="P74" s="257"/>
      <c r="Q74" s="407"/>
      <c r="R74" s="257"/>
      <c r="S74" s="255"/>
      <c r="T74" s="390"/>
      <c r="U74" s="374"/>
      <c r="V74" s="414"/>
      <c r="W74" s="82"/>
      <c r="Z74" s="697"/>
      <c r="AA74" s="698"/>
    </row>
    <row r="75" spans="1:27" ht="27.95" customHeight="1" thickBot="1" x14ac:dyDescent="0.25">
      <c r="A75" s="421"/>
      <c r="B75" s="310" t="s">
        <v>1199</v>
      </c>
      <c r="C75" s="511" t="s">
        <v>1215</v>
      </c>
      <c r="D75" s="748"/>
      <c r="E75" s="749"/>
      <c r="F75" s="748"/>
      <c r="G75" s="749"/>
      <c r="H75" s="748"/>
      <c r="I75" s="749"/>
      <c r="J75" s="748"/>
      <c r="K75" s="749"/>
      <c r="L75" s="748"/>
      <c r="M75" s="749"/>
      <c r="N75" s="748"/>
      <c r="O75" s="749"/>
      <c r="P75" s="748"/>
      <c r="Q75" s="749"/>
      <c r="R75" s="748"/>
      <c r="S75" s="749"/>
      <c r="T75" s="69"/>
      <c r="U75" s="70">
        <f>IF(OR(D75="s",F75="s",H75="s",J75="s",L75="s",N75="s",P75="s",R75="s"), 0, IF(OR(D75="a",F75="a",H75="a",J75="a",L75="a",N75="a",P75="a",R75="a"),V75,0))</f>
        <v>0</v>
      </c>
      <c r="V75" s="446">
        <v>5</v>
      </c>
      <c r="W75" s="82">
        <f>COUNTIF(D75:S75,"a")+COUNTIF(D75:S75,"s")</f>
        <v>0</v>
      </c>
      <c r="X75" s="717"/>
      <c r="Z75" s="697"/>
      <c r="AA75" s="698"/>
    </row>
    <row r="76" spans="1:27" ht="21" customHeight="1" thickTop="1" thickBot="1" x14ac:dyDescent="0.25">
      <c r="A76" s="421" t="s">
        <v>272</v>
      </c>
      <c r="B76" s="75"/>
      <c r="C76" s="164"/>
      <c r="D76" s="750" t="s">
        <v>662</v>
      </c>
      <c r="E76" s="779"/>
      <c r="F76" s="779"/>
      <c r="G76" s="779"/>
      <c r="H76" s="779"/>
      <c r="I76" s="779"/>
      <c r="J76" s="779"/>
      <c r="K76" s="779"/>
      <c r="L76" s="779"/>
      <c r="M76" s="779"/>
      <c r="N76" s="779"/>
      <c r="O76" s="779"/>
      <c r="P76" s="779"/>
      <c r="Q76" s="779"/>
      <c r="R76" s="779"/>
      <c r="S76" s="779"/>
      <c r="T76" s="780"/>
      <c r="U76" s="2">
        <f>SUM(U75:U75)</f>
        <v>0</v>
      </c>
      <c r="V76" s="449">
        <f>SUM(V75:V75)</f>
        <v>5</v>
      </c>
      <c r="W76" s="82"/>
      <c r="Z76" s="697"/>
      <c r="AA76" s="698"/>
    </row>
    <row r="77" spans="1:27" ht="21" customHeight="1" thickBot="1" x14ac:dyDescent="0.25">
      <c r="A77" s="411" t="s">
        <v>272</v>
      </c>
      <c r="B77" s="115"/>
      <c r="C77" s="466" t="s">
        <v>744</v>
      </c>
      <c r="D77" s="945"/>
      <c r="E77" s="741"/>
      <c r="F77" s="845">
        <v>0</v>
      </c>
      <c r="G77" s="846"/>
      <c r="H77" s="846"/>
      <c r="I77" s="846"/>
      <c r="J77" s="846"/>
      <c r="K77" s="846"/>
      <c r="L77" s="846"/>
      <c r="M77" s="846"/>
      <c r="N77" s="846"/>
      <c r="O77" s="846"/>
      <c r="P77" s="846"/>
      <c r="Q77" s="846"/>
      <c r="R77" s="846"/>
      <c r="S77" s="846"/>
      <c r="T77" s="846"/>
      <c r="U77" s="846"/>
      <c r="V77" s="847"/>
      <c r="W77" s="82"/>
      <c r="Z77" s="697"/>
      <c r="AA77" s="698"/>
    </row>
    <row r="78" spans="1:27" ht="30" customHeight="1" thickBot="1" x14ac:dyDescent="0.25">
      <c r="A78" s="561"/>
      <c r="B78" s="316" t="s">
        <v>1349</v>
      </c>
      <c r="C78" s="157" t="s">
        <v>1350</v>
      </c>
      <c r="D78" s="550"/>
      <c r="E78" s="549"/>
      <c r="F78" s="379"/>
      <c r="G78" s="99"/>
      <c r="H78" s="550"/>
      <c r="I78" s="549"/>
      <c r="J78" s="249"/>
      <c r="K78" s="99"/>
      <c r="L78" s="550"/>
      <c r="M78" s="255"/>
      <c r="N78" s="550"/>
      <c r="O78" s="256"/>
      <c r="P78" s="257"/>
      <c r="Q78" s="407"/>
      <c r="R78" s="257"/>
      <c r="S78" s="255"/>
      <c r="T78" s="390"/>
      <c r="U78" s="374"/>
      <c r="V78" s="414"/>
      <c r="W78" s="82"/>
      <c r="Z78" s="697"/>
      <c r="AA78" s="698"/>
    </row>
    <row r="79" spans="1:27" ht="27.95" customHeight="1" x14ac:dyDescent="0.2">
      <c r="A79" s="562"/>
      <c r="B79" s="318"/>
      <c r="C79" s="536" t="s">
        <v>1359</v>
      </c>
      <c r="D79" s="981"/>
      <c r="E79" s="982"/>
      <c r="F79" s="982"/>
      <c r="G79" s="982"/>
      <c r="H79" s="982"/>
      <c r="I79" s="982"/>
      <c r="J79" s="982"/>
      <c r="K79" s="982"/>
      <c r="L79" s="982"/>
      <c r="M79" s="982"/>
      <c r="N79" s="982"/>
      <c r="O79" s="982"/>
      <c r="P79" s="982"/>
      <c r="Q79" s="982"/>
      <c r="R79" s="982"/>
      <c r="S79" s="982"/>
      <c r="T79" s="982"/>
      <c r="U79" s="982"/>
      <c r="V79" s="983"/>
      <c r="W79" s="82"/>
      <c r="Z79" s="697"/>
      <c r="AA79" s="698"/>
    </row>
    <row r="80" spans="1:27" ht="27.95" customHeight="1" x14ac:dyDescent="0.2">
      <c r="A80" s="562"/>
      <c r="B80" s="310" t="s">
        <v>1351</v>
      </c>
      <c r="C80" s="124" t="s">
        <v>1363</v>
      </c>
      <c r="D80" s="744"/>
      <c r="E80" s="745"/>
      <c r="F80" s="744"/>
      <c r="G80" s="745"/>
      <c r="H80" s="744"/>
      <c r="I80" s="745"/>
      <c r="J80" s="744"/>
      <c r="K80" s="745"/>
      <c r="L80" s="744"/>
      <c r="M80" s="745"/>
      <c r="N80" s="744"/>
      <c r="O80" s="745"/>
      <c r="P80" s="744"/>
      <c r="Q80" s="745"/>
      <c r="R80" s="744"/>
      <c r="S80" s="745"/>
      <c r="T80" s="69"/>
      <c r="U80" s="71">
        <f>IF(OR(D80="s",F80="s",H80="s",J80="s",L80="s",N80="s",P80="s",R80="s"), 0, IF(OR(D80="a",F80="a",H80="a",J80="a",L80="a",N80="a",P80="a",R80="a"),V80,0))</f>
        <v>0</v>
      </c>
      <c r="V80" s="446">
        <v>10</v>
      </c>
      <c r="W80" s="82">
        <f>COUNTIF(D80:S80,"a")+COUNTIF(D80:S80,"s")</f>
        <v>0</v>
      </c>
      <c r="X80" s="717"/>
      <c r="Z80" s="697" t="s">
        <v>656</v>
      </c>
      <c r="AA80" s="698"/>
    </row>
    <row r="81" spans="1:27" ht="45" customHeight="1" x14ac:dyDescent="0.2">
      <c r="A81" s="562"/>
      <c r="B81" s="319" t="s">
        <v>1352</v>
      </c>
      <c r="C81" s="131" t="s">
        <v>1364</v>
      </c>
      <c r="D81" s="742"/>
      <c r="E81" s="743"/>
      <c r="F81" s="742"/>
      <c r="G81" s="743"/>
      <c r="H81" s="742"/>
      <c r="I81" s="743"/>
      <c r="J81" s="742"/>
      <c r="K81" s="743"/>
      <c r="L81" s="742"/>
      <c r="M81" s="743"/>
      <c r="N81" s="742"/>
      <c r="O81" s="743"/>
      <c r="P81" s="742"/>
      <c r="Q81" s="743"/>
      <c r="R81" s="742"/>
      <c r="S81" s="743"/>
      <c r="T81" s="69"/>
      <c r="U81" s="67">
        <f t="shared" ref="U81:U90" si="19">IF(OR(D81="s",F81="s",H81="s",J81="s",L81="s",N81="s",P81="s",R81="s"), 0, IF(OR(D81="a",F81="a",H81="a",J81="a",L81="a",N81="a",P81="a",R81="a"),V81,0))</f>
        <v>0</v>
      </c>
      <c r="V81" s="447">
        <v>5</v>
      </c>
      <c r="W81" s="82">
        <f t="shared" ref="W81:W89" si="20">COUNTIF(D81:S81,"a")+COUNTIF(D81:S81,"s")</f>
        <v>0</v>
      </c>
      <c r="X81" s="717"/>
      <c r="Z81" s="697"/>
      <c r="AA81" s="698"/>
    </row>
    <row r="82" spans="1:27" ht="45" customHeight="1" x14ac:dyDescent="0.2">
      <c r="A82" s="562"/>
      <c r="B82" s="319" t="s">
        <v>1353</v>
      </c>
      <c r="C82" s="131" t="s">
        <v>1365</v>
      </c>
      <c r="D82" s="742"/>
      <c r="E82" s="743"/>
      <c r="F82" s="742"/>
      <c r="G82" s="743"/>
      <c r="H82" s="742"/>
      <c r="I82" s="743"/>
      <c r="J82" s="742"/>
      <c r="K82" s="743"/>
      <c r="L82" s="742"/>
      <c r="M82" s="743"/>
      <c r="N82" s="742"/>
      <c r="O82" s="743"/>
      <c r="P82" s="742"/>
      <c r="Q82" s="743"/>
      <c r="R82" s="742"/>
      <c r="S82" s="743"/>
      <c r="T82" s="69"/>
      <c r="U82" s="67">
        <f t="shared" si="19"/>
        <v>0</v>
      </c>
      <c r="V82" s="447">
        <v>5</v>
      </c>
      <c r="W82" s="82">
        <f t="shared" si="20"/>
        <v>0</v>
      </c>
      <c r="X82" s="717"/>
      <c r="Z82" s="697"/>
      <c r="AA82" s="698"/>
    </row>
    <row r="83" spans="1:27" ht="27.95" customHeight="1" x14ac:dyDescent="0.2">
      <c r="A83" s="562"/>
      <c r="B83" s="325" t="s">
        <v>1354</v>
      </c>
      <c r="C83" s="127" t="s">
        <v>1492</v>
      </c>
      <c r="D83" s="764"/>
      <c r="E83" s="765"/>
      <c r="F83" s="764"/>
      <c r="G83" s="765"/>
      <c r="H83" s="764"/>
      <c r="I83" s="765"/>
      <c r="J83" s="764"/>
      <c r="K83" s="765"/>
      <c r="L83" s="764"/>
      <c r="M83" s="765"/>
      <c r="N83" s="764"/>
      <c r="O83" s="765"/>
      <c r="P83" s="764"/>
      <c r="Q83" s="765"/>
      <c r="R83" s="764"/>
      <c r="S83" s="765"/>
      <c r="T83" s="538"/>
      <c r="U83" s="107">
        <f t="shared" si="19"/>
        <v>0</v>
      </c>
      <c r="V83" s="448">
        <v>5</v>
      </c>
      <c r="W83" s="82">
        <f t="shared" si="20"/>
        <v>0</v>
      </c>
      <c r="X83" s="717"/>
      <c r="Z83" s="697"/>
      <c r="AA83" s="698"/>
    </row>
    <row r="84" spans="1:27" ht="27.95" customHeight="1" x14ac:dyDescent="0.2">
      <c r="A84" s="562"/>
      <c r="B84" s="319"/>
      <c r="C84" s="661" t="s">
        <v>1360</v>
      </c>
      <c r="D84" s="947"/>
      <c r="E84" s="948"/>
      <c r="F84" s="948"/>
      <c r="G84" s="948"/>
      <c r="H84" s="948"/>
      <c r="I84" s="948"/>
      <c r="J84" s="948"/>
      <c r="K84" s="948"/>
      <c r="L84" s="948"/>
      <c r="M84" s="948"/>
      <c r="N84" s="948"/>
      <c r="O84" s="948"/>
      <c r="P84" s="948"/>
      <c r="Q84" s="948"/>
      <c r="R84" s="948"/>
      <c r="S84" s="948"/>
      <c r="T84" s="948"/>
      <c r="U84" s="948"/>
      <c r="V84" s="949"/>
      <c r="W84" s="82"/>
      <c r="Z84" s="697"/>
      <c r="AA84" s="698"/>
    </row>
    <row r="85" spans="1:27" ht="27.95" customHeight="1" x14ac:dyDescent="0.2">
      <c r="A85" s="562"/>
      <c r="B85" s="319"/>
      <c r="C85" s="661" t="s">
        <v>1361</v>
      </c>
      <c r="D85" s="947"/>
      <c r="E85" s="948"/>
      <c r="F85" s="948"/>
      <c r="G85" s="948"/>
      <c r="H85" s="948"/>
      <c r="I85" s="948"/>
      <c r="J85" s="948"/>
      <c r="K85" s="948"/>
      <c r="L85" s="948"/>
      <c r="M85" s="948"/>
      <c r="N85" s="948"/>
      <c r="O85" s="948"/>
      <c r="P85" s="948"/>
      <c r="Q85" s="948"/>
      <c r="R85" s="948"/>
      <c r="S85" s="948"/>
      <c r="T85" s="948"/>
      <c r="U85" s="948"/>
      <c r="V85" s="949"/>
      <c r="W85" s="82"/>
      <c r="Z85" s="697"/>
      <c r="AA85" s="698"/>
    </row>
    <row r="86" spans="1:27" ht="45" customHeight="1" x14ac:dyDescent="0.2">
      <c r="A86" s="562"/>
      <c r="B86" s="310" t="s">
        <v>1355</v>
      </c>
      <c r="C86" s="124" t="s">
        <v>1366</v>
      </c>
      <c r="D86" s="744"/>
      <c r="E86" s="745"/>
      <c r="F86" s="744"/>
      <c r="G86" s="745"/>
      <c r="H86" s="744"/>
      <c r="I86" s="745"/>
      <c r="J86" s="744"/>
      <c r="K86" s="745"/>
      <c r="L86" s="744"/>
      <c r="M86" s="745"/>
      <c r="N86" s="744"/>
      <c r="O86" s="745"/>
      <c r="P86" s="744"/>
      <c r="Q86" s="745"/>
      <c r="R86" s="744"/>
      <c r="S86" s="745"/>
      <c r="T86" s="69"/>
      <c r="U86" s="71">
        <f t="shared" si="19"/>
        <v>0</v>
      </c>
      <c r="V86" s="446">
        <v>5</v>
      </c>
      <c r="W86" s="82">
        <f t="shared" si="20"/>
        <v>0</v>
      </c>
      <c r="X86" s="717"/>
      <c r="Z86" s="697"/>
      <c r="AA86" s="698"/>
    </row>
    <row r="87" spans="1:27" ht="67.7" customHeight="1" x14ac:dyDescent="0.2">
      <c r="A87" s="562"/>
      <c r="B87" s="325" t="s">
        <v>1356</v>
      </c>
      <c r="C87" s="127" t="s">
        <v>1367</v>
      </c>
      <c r="D87" s="764"/>
      <c r="E87" s="765"/>
      <c r="F87" s="764"/>
      <c r="G87" s="765"/>
      <c r="H87" s="764"/>
      <c r="I87" s="765"/>
      <c r="J87" s="764"/>
      <c r="K87" s="765"/>
      <c r="L87" s="764"/>
      <c r="M87" s="765"/>
      <c r="N87" s="764"/>
      <c r="O87" s="765"/>
      <c r="P87" s="764"/>
      <c r="Q87" s="765"/>
      <c r="R87" s="764"/>
      <c r="S87" s="765"/>
      <c r="T87" s="538"/>
      <c r="U87" s="107">
        <f t="shared" si="19"/>
        <v>0</v>
      </c>
      <c r="V87" s="451">
        <v>5</v>
      </c>
      <c r="W87" s="82">
        <f t="shared" si="20"/>
        <v>0</v>
      </c>
      <c r="X87" s="717"/>
      <c r="Z87" s="697"/>
      <c r="AA87" s="698"/>
    </row>
    <row r="88" spans="1:27" ht="27.95" customHeight="1" x14ac:dyDescent="0.2">
      <c r="A88" s="562"/>
      <c r="B88" s="319"/>
      <c r="C88" s="661" t="s">
        <v>1362</v>
      </c>
      <c r="D88" s="947"/>
      <c r="E88" s="948"/>
      <c r="F88" s="948"/>
      <c r="G88" s="948"/>
      <c r="H88" s="948"/>
      <c r="I88" s="948"/>
      <c r="J88" s="948"/>
      <c r="K88" s="948"/>
      <c r="L88" s="948"/>
      <c r="M88" s="948"/>
      <c r="N88" s="948"/>
      <c r="O88" s="948"/>
      <c r="P88" s="948"/>
      <c r="Q88" s="948"/>
      <c r="R88" s="948"/>
      <c r="S88" s="948"/>
      <c r="T88" s="948"/>
      <c r="U88" s="948"/>
      <c r="V88" s="949"/>
      <c r="W88" s="82"/>
      <c r="Z88" s="697"/>
      <c r="AA88" s="698"/>
    </row>
    <row r="89" spans="1:27" ht="27.95" customHeight="1" x14ac:dyDescent="0.2">
      <c r="A89" s="562"/>
      <c r="B89" s="310" t="s">
        <v>1357</v>
      </c>
      <c r="C89" s="124" t="s">
        <v>1368</v>
      </c>
      <c r="D89" s="744"/>
      <c r="E89" s="745"/>
      <c r="F89" s="744"/>
      <c r="G89" s="745"/>
      <c r="H89" s="744"/>
      <c r="I89" s="745"/>
      <c r="J89" s="744"/>
      <c r="K89" s="745"/>
      <c r="L89" s="744"/>
      <c r="M89" s="745"/>
      <c r="N89" s="744"/>
      <c r="O89" s="745"/>
      <c r="P89" s="744"/>
      <c r="Q89" s="745"/>
      <c r="R89" s="744"/>
      <c r="S89" s="745"/>
      <c r="T89" s="69"/>
      <c r="U89" s="71">
        <f t="shared" si="19"/>
        <v>0</v>
      </c>
      <c r="V89" s="446">
        <v>10</v>
      </c>
      <c r="W89" s="82">
        <f t="shared" si="20"/>
        <v>0</v>
      </c>
      <c r="X89" s="717"/>
      <c r="Z89" s="697"/>
      <c r="AA89" s="698"/>
    </row>
    <row r="90" spans="1:27" ht="106.5" customHeight="1" thickBot="1" x14ac:dyDescent="0.25">
      <c r="A90" s="562"/>
      <c r="B90" s="319" t="s">
        <v>1358</v>
      </c>
      <c r="C90" s="131" t="s">
        <v>1514</v>
      </c>
      <c r="D90" s="742"/>
      <c r="E90" s="743"/>
      <c r="F90" s="742"/>
      <c r="G90" s="743"/>
      <c r="H90" s="742"/>
      <c r="I90" s="743"/>
      <c r="J90" s="742"/>
      <c r="K90" s="743"/>
      <c r="L90" s="742"/>
      <c r="M90" s="743"/>
      <c r="N90" s="742"/>
      <c r="O90" s="743"/>
      <c r="P90" s="742"/>
      <c r="Q90" s="743"/>
      <c r="R90" s="742"/>
      <c r="S90" s="743"/>
      <c r="T90" s="547"/>
      <c r="U90" s="67">
        <f t="shared" si="19"/>
        <v>0</v>
      </c>
      <c r="V90" s="447">
        <f>IF(T90="na", 0,5)</f>
        <v>5</v>
      </c>
      <c r="W90" s="82">
        <f>COUNTIF(D90:S90,"a")+COUNTIF(D90:S90,"s")</f>
        <v>0</v>
      </c>
      <c r="X90" s="717"/>
      <c r="Z90" s="697"/>
      <c r="AA90" s="698"/>
    </row>
    <row r="91" spans="1:27" ht="21" customHeight="1" thickTop="1" thickBot="1" x14ac:dyDescent="0.25">
      <c r="A91" s="421"/>
      <c r="B91" s="75"/>
      <c r="C91" s="164"/>
      <c r="D91" s="750" t="s">
        <v>662</v>
      </c>
      <c r="E91" s="779"/>
      <c r="F91" s="779"/>
      <c r="G91" s="779"/>
      <c r="H91" s="779"/>
      <c r="I91" s="779"/>
      <c r="J91" s="779"/>
      <c r="K91" s="779"/>
      <c r="L91" s="779"/>
      <c r="M91" s="779"/>
      <c r="N91" s="779"/>
      <c r="O91" s="779"/>
      <c r="P91" s="779"/>
      <c r="Q91" s="779"/>
      <c r="R91" s="779"/>
      <c r="S91" s="779"/>
      <c r="T91" s="780"/>
      <c r="U91" s="2">
        <f>SUM(U80:U90)</f>
        <v>0</v>
      </c>
      <c r="V91" s="449">
        <f>SUM(V80:V90)</f>
        <v>50</v>
      </c>
      <c r="W91" s="82"/>
      <c r="Z91" s="697"/>
      <c r="AA91" s="698"/>
    </row>
    <row r="92" spans="1:27" ht="21" customHeight="1" thickBot="1" x14ac:dyDescent="0.25">
      <c r="A92" s="411"/>
      <c r="B92" s="115"/>
      <c r="C92" s="466" t="s">
        <v>744</v>
      </c>
      <c r="D92" s="945"/>
      <c r="E92" s="741"/>
      <c r="F92" s="816">
        <v>10</v>
      </c>
      <c r="G92" s="817"/>
      <c r="H92" s="817"/>
      <c r="I92" s="817"/>
      <c r="J92" s="817"/>
      <c r="K92" s="817"/>
      <c r="L92" s="817"/>
      <c r="M92" s="817"/>
      <c r="N92" s="817"/>
      <c r="O92" s="817"/>
      <c r="P92" s="817"/>
      <c r="Q92" s="817"/>
      <c r="R92" s="817"/>
      <c r="S92" s="817"/>
      <c r="T92" s="817"/>
      <c r="U92" s="817"/>
      <c r="V92" s="818"/>
      <c r="W92" s="82"/>
      <c r="Z92" s="697"/>
      <c r="AA92" s="698"/>
    </row>
    <row r="93" spans="1:27" ht="33" customHeight="1" thickBot="1" x14ac:dyDescent="0.25">
      <c r="A93" s="531"/>
      <c r="B93" s="345">
        <v>2000</v>
      </c>
      <c r="C93" s="1000" t="s">
        <v>52</v>
      </c>
      <c r="D93" s="956"/>
      <c r="E93" s="956"/>
      <c r="F93" s="956"/>
      <c r="G93" s="956"/>
      <c r="H93" s="956"/>
      <c r="I93" s="956"/>
      <c r="J93" s="956"/>
      <c r="K93" s="956"/>
      <c r="L93" s="956"/>
      <c r="M93" s="956"/>
      <c r="N93" s="956"/>
      <c r="O93" s="956"/>
      <c r="P93" s="956"/>
      <c r="Q93" s="956"/>
      <c r="R93" s="956"/>
      <c r="S93" s="956"/>
      <c r="T93" s="956"/>
      <c r="U93" s="956"/>
      <c r="V93" s="957"/>
      <c r="W93" s="82"/>
      <c r="Z93" s="697"/>
      <c r="AA93" s="698"/>
    </row>
    <row r="94" spans="1:27" ht="30" customHeight="1" thickBot="1" x14ac:dyDescent="0.25">
      <c r="A94" s="421"/>
      <c r="B94" s="330" t="s">
        <v>962</v>
      </c>
      <c r="C94" s="146" t="s">
        <v>88</v>
      </c>
      <c r="D94" s="26" t="s">
        <v>661</v>
      </c>
      <c r="E94" s="37"/>
      <c r="F94" s="26" t="s">
        <v>661</v>
      </c>
      <c r="G94" s="37"/>
      <c r="H94" s="26" t="s">
        <v>661</v>
      </c>
      <c r="I94" s="35"/>
      <c r="J94" s="25"/>
      <c r="K94" s="37"/>
      <c r="L94" s="26"/>
      <c r="M94" s="35"/>
      <c r="N94" s="26"/>
      <c r="O94" s="35"/>
      <c r="P94" s="26"/>
      <c r="Q94" s="35"/>
      <c r="R94" s="26"/>
      <c r="S94" s="35"/>
      <c r="T94" s="32"/>
      <c r="U94" s="33"/>
      <c r="V94" s="419"/>
      <c r="W94" s="82"/>
      <c r="Z94" s="697"/>
      <c r="AA94" s="698"/>
    </row>
    <row r="95" spans="1:27" ht="27.95" customHeight="1" x14ac:dyDescent="0.2">
      <c r="A95" s="421"/>
      <c r="B95" s="319" t="s">
        <v>986</v>
      </c>
      <c r="C95" s="147" t="s">
        <v>84</v>
      </c>
      <c r="D95" s="742"/>
      <c r="E95" s="743"/>
      <c r="F95" s="742"/>
      <c r="G95" s="743"/>
      <c r="H95" s="742"/>
      <c r="I95" s="743"/>
      <c r="J95" s="742"/>
      <c r="K95" s="743"/>
      <c r="L95" s="742"/>
      <c r="M95" s="743"/>
      <c r="N95" s="742"/>
      <c r="O95" s="743"/>
      <c r="P95" s="742"/>
      <c r="Q95" s="743"/>
      <c r="R95" s="742"/>
      <c r="S95" s="743"/>
      <c r="T95" s="69"/>
      <c r="U95" s="67">
        <f t="shared" ref="U95:U104" si="21">IF(OR(D95="s",F95="s",H95="s",J95="s",L95="s",N95="s",P95="s",R95="s"), 0, IF(OR(D95="a",F95="a",H95="a",J95="a",L95="a",N95="a",P95="a",R95="a"),V95,0))</f>
        <v>0</v>
      </c>
      <c r="V95" s="417">
        <v>10</v>
      </c>
      <c r="W95" s="82">
        <f t="shared" ref="W95:W104" si="22">COUNTIF(D95:S95,"a")+COUNTIF(D95:S95,"s")</f>
        <v>0</v>
      </c>
      <c r="X95" s="717"/>
      <c r="Z95" s="697" t="s">
        <v>656</v>
      </c>
      <c r="AA95" s="698"/>
    </row>
    <row r="96" spans="1:27" ht="27.95" customHeight="1" x14ac:dyDescent="0.2">
      <c r="A96" s="421"/>
      <c r="B96" s="319" t="s">
        <v>53</v>
      </c>
      <c r="C96" s="147" t="s">
        <v>1279</v>
      </c>
      <c r="D96" s="742"/>
      <c r="E96" s="743"/>
      <c r="F96" s="742"/>
      <c r="G96" s="743"/>
      <c r="H96" s="742"/>
      <c r="I96" s="743"/>
      <c r="J96" s="742"/>
      <c r="K96" s="743"/>
      <c r="L96" s="742"/>
      <c r="M96" s="743"/>
      <c r="N96" s="742"/>
      <c r="O96" s="743"/>
      <c r="P96" s="742"/>
      <c r="Q96" s="743"/>
      <c r="R96" s="742"/>
      <c r="S96" s="743"/>
      <c r="T96" s="69"/>
      <c r="U96" s="67">
        <f t="shared" si="21"/>
        <v>0</v>
      </c>
      <c r="V96" s="417">
        <v>10</v>
      </c>
      <c r="W96" s="82">
        <f t="shared" si="22"/>
        <v>0</v>
      </c>
      <c r="X96" s="717"/>
      <c r="Z96" s="697"/>
      <c r="AA96" s="698"/>
    </row>
    <row r="97" spans="1:27" ht="27.95" customHeight="1" x14ac:dyDescent="0.2">
      <c r="A97" s="421"/>
      <c r="B97" s="319" t="s">
        <v>54</v>
      </c>
      <c r="C97" s="521" t="s">
        <v>1280</v>
      </c>
      <c r="D97" s="742"/>
      <c r="E97" s="743"/>
      <c r="F97" s="742"/>
      <c r="G97" s="743"/>
      <c r="H97" s="742"/>
      <c r="I97" s="743"/>
      <c r="J97" s="742"/>
      <c r="K97" s="743"/>
      <c r="L97" s="742"/>
      <c r="M97" s="743"/>
      <c r="N97" s="742"/>
      <c r="O97" s="743"/>
      <c r="P97" s="742"/>
      <c r="Q97" s="743"/>
      <c r="R97" s="742"/>
      <c r="S97" s="743"/>
      <c r="T97" s="69"/>
      <c r="U97" s="67">
        <f t="shared" si="21"/>
        <v>0</v>
      </c>
      <c r="V97" s="417">
        <v>10</v>
      </c>
      <c r="W97" s="82">
        <f t="shared" si="22"/>
        <v>0</v>
      </c>
      <c r="X97" s="717"/>
      <c r="Z97" s="697" t="s">
        <v>656</v>
      </c>
      <c r="AA97" s="698"/>
    </row>
    <row r="98" spans="1:27" ht="27.95" customHeight="1" x14ac:dyDescent="0.2">
      <c r="A98" s="421"/>
      <c r="B98" s="319" t="s">
        <v>55</v>
      </c>
      <c r="C98" s="521" t="s">
        <v>1281</v>
      </c>
      <c r="D98" s="742"/>
      <c r="E98" s="743"/>
      <c r="F98" s="742"/>
      <c r="G98" s="743"/>
      <c r="H98" s="742"/>
      <c r="I98" s="743"/>
      <c r="J98" s="742"/>
      <c r="K98" s="743"/>
      <c r="L98" s="742"/>
      <c r="M98" s="743"/>
      <c r="N98" s="742"/>
      <c r="O98" s="743"/>
      <c r="P98" s="742"/>
      <c r="Q98" s="743"/>
      <c r="R98" s="742"/>
      <c r="S98" s="743"/>
      <c r="T98" s="69"/>
      <c r="U98" s="67">
        <f t="shared" si="21"/>
        <v>0</v>
      </c>
      <c r="V98" s="417">
        <v>10</v>
      </c>
      <c r="W98" s="82">
        <f t="shared" si="22"/>
        <v>0</v>
      </c>
      <c r="X98" s="717"/>
      <c r="Z98" s="697"/>
      <c r="AA98" s="698"/>
    </row>
    <row r="99" spans="1:27" ht="27.95" customHeight="1" x14ac:dyDescent="0.2">
      <c r="A99" s="421"/>
      <c r="B99" s="319" t="s">
        <v>56</v>
      </c>
      <c r="C99" s="260" t="s">
        <v>1138</v>
      </c>
      <c r="D99" s="742"/>
      <c r="E99" s="743"/>
      <c r="F99" s="742"/>
      <c r="G99" s="743"/>
      <c r="H99" s="742"/>
      <c r="I99" s="743"/>
      <c r="J99" s="742"/>
      <c r="K99" s="743"/>
      <c r="L99" s="742"/>
      <c r="M99" s="743"/>
      <c r="N99" s="742"/>
      <c r="O99" s="743"/>
      <c r="P99" s="742"/>
      <c r="Q99" s="743"/>
      <c r="R99" s="742"/>
      <c r="S99" s="743"/>
      <c r="T99" s="69"/>
      <c r="U99" s="67">
        <f t="shared" si="21"/>
        <v>0</v>
      </c>
      <c r="V99" s="417">
        <v>20</v>
      </c>
      <c r="W99" s="82">
        <f t="shared" si="22"/>
        <v>0</v>
      </c>
      <c r="X99" s="717"/>
      <c r="Z99" s="697"/>
      <c r="AA99" s="698"/>
    </row>
    <row r="100" spans="1:27" ht="27.95" customHeight="1" x14ac:dyDescent="0.2">
      <c r="A100" s="421"/>
      <c r="B100" s="319" t="s">
        <v>181</v>
      </c>
      <c r="C100" s="260" t="s">
        <v>1313</v>
      </c>
      <c r="D100" s="742"/>
      <c r="E100" s="743"/>
      <c r="F100" s="742"/>
      <c r="G100" s="743"/>
      <c r="H100" s="742"/>
      <c r="I100" s="743"/>
      <c r="J100" s="742"/>
      <c r="K100" s="743"/>
      <c r="L100" s="742"/>
      <c r="M100" s="743"/>
      <c r="N100" s="742"/>
      <c r="O100" s="743"/>
      <c r="P100" s="742"/>
      <c r="Q100" s="743"/>
      <c r="R100" s="742"/>
      <c r="S100" s="743"/>
      <c r="T100" s="112"/>
      <c r="U100" s="67">
        <f t="shared" ref="U100" si="23">IF(OR(D100="s",F100="s",H100="s",J100="s",L100="s",N100="s",P100="s",R100="s"), 0, IF(OR(D100="a",F100="a",H100="a",J100="a",L100="a",N100="a",P100="a",R100="a"),V100,0))</f>
        <v>0</v>
      </c>
      <c r="V100" s="417">
        <f>IF(T100="na",0,10)</f>
        <v>10</v>
      </c>
      <c r="W100" s="82">
        <f t="shared" ref="W100" si="24">COUNTIF(D100:S100,"a")+COUNTIF(D100:S100,"s")+COUNTIF(T100,"na")</f>
        <v>0</v>
      </c>
      <c r="X100" s="717"/>
      <c r="Z100" s="697"/>
      <c r="AA100" s="698"/>
    </row>
    <row r="101" spans="1:27" ht="27.95" customHeight="1" x14ac:dyDescent="0.2">
      <c r="A101" s="421"/>
      <c r="B101" s="319" t="s">
        <v>1311</v>
      </c>
      <c r="C101" s="260" t="s">
        <v>1314</v>
      </c>
      <c r="D101" s="742"/>
      <c r="E101" s="743"/>
      <c r="F101" s="742"/>
      <c r="G101" s="743"/>
      <c r="H101" s="742"/>
      <c r="I101" s="743"/>
      <c r="J101" s="742"/>
      <c r="K101" s="743"/>
      <c r="L101" s="742"/>
      <c r="M101" s="743"/>
      <c r="N101" s="742"/>
      <c r="O101" s="743"/>
      <c r="P101" s="742"/>
      <c r="Q101" s="743"/>
      <c r="R101" s="742"/>
      <c r="S101" s="743"/>
      <c r="T101" s="69"/>
      <c r="U101" s="67">
        <f t="shared" si="21"/>
        <v>0</v>
      </c>
      <c r="V101" s="417">
        <v>10</v>
      </c>
      <c r="W101" s="82">
        <f>IF((COUNTIF(D101:S101,"a")+COUNTIF(D101:S101,"s"))&gt;0,IF(OR((COUNTIF(D102:S102,"a")+COUNTIF(D102:S102,"s"))),0,COUNTIF(D101:S101,"a")+COUNTIF(D101:S101,"s")),COUNTIF(D101:S101,"a")+COUNTIF(D101:S101,"s"))</f>
        <v>0</v>
      </c>
      <c r="X101" s="717"/>
      <c r="Z101" s="697"/>
      <c r="AA101" s="698"/>
    </row>
    <row r="102" spans="1:27" ht="45" customHeight="1" x14ac:dyDescent="0.2">
      <c r="A102" s="421"/>
      <c r="B102" s="319" t="s">
        <v>1312</v>
      </c>
      <c r="C102" s="530" t="s">
        <v>1315</v>
      </c>
      <c r="D102" s="742"/>
      <c r="E102" s="743"/>
      <c r="F102" s="742"/>
      <c r="G102" s="743"/>
      <c r="H102" s="742"/>
      <c r="I102" s="743"/>
      <c r="J102" s="742"/>
      <c r="K102" s="743"/>
      <c r="L102" s="742"/>
      <c r="M102" s="743"/>
      <c r="N102" s="742"/>
      <c r="O102" s="743"/>
      <c r="P102" s="742"/>
      <c r="Q102" s="743"/>
      <c r="R102" s="742"/>
      <c r="S102" s="743"/>
      <c r="T102" s="69"/>
      <c r="U102" s="109">
        <f t="shared" ref="U102" si="25">IF(OR(D102="s",F102="s",H102="s",J102="s",L102="s",N102="s",P102="s",R102="s"), 0, IF(OR(D102="a",F102="a",H102="a",J102="a",L102="a",N102="a",P102="a",R102="a"),V102,0))</f>
        <v>0</v>
      </c>
      <c r="V102" s="417">
        <v>5</v>
      </c>
      <c r="W102" s="82">
        <f>IF((COUNTIF(D102:S102,"a")+COUNTIF(D102:S102,"s"))&gt;0,IF((COUNTIF(D101:S101,"a")+COUNTIF(D101:S101,"s"))&gt;0,0,COUNTIF(D102:S102,"a")+COUNTIF(D102:S102,"s")), COUNTIF(D102:S102,"a")+COUNTIF(D102:S102,"s"))</f>
        <v>0</v>
      </c>
      <c r="X102" s="717"/>
      <c r="Z102" s="697"/>
      <c r="AA102" s="698"/>
    </row>
    <row r="103" spans="1:27" ht="27.95" customHeight="1" x14ac:dyDescent="0.2">
      <c r="A103" s="421"/>
      <c r="B103" s="319" t="s">
        <v>1263</v>
      </c>
      <c r="C103" s="260" t="s">
        <v>1282</v>
      </c>
      <c r="D103" s="742"/>
      <c r="E103" s="743"/>
      <c r="F103" s="742"/>
      <c r="G103" s="743"/>
      <c r="H103" s="742"/>
      <c r="I103" s="743"/>
      <c r="J103" s="742"/>
      <c r="K103" s="743"/>
      <c r="L103" s="742"/>
      <c r="M103" s="743"/>
      <c r="N103" s="742"/>
      <c r="O103" s="743"/>
      <c r="P103" s="742"/>
      <c r="Q103" s="743"/>
      <c r="R103" s="742"/>
      <c r="S103" s="743"/>
      <c r="T103" s="69"/>
      <c r="U103" s="67">
        <f>IF(OR(D103="s",F103="s",H103="s",J103="s",L103="s",N103="s",P103="s",R103="s"), 0, IF(OR(D103="a",F103="a",H103="a",J103="a",L103="a",N103="a",P103="a",R103="a"),V103,0))</f>
        <v>0</v>
      </c>
      <c r="V103" s="417">
        <v>10</v>
      </c>
      <c r="W103" s="82">
        <f>COUNTIF(D103:S103,"a")+COUNTIF(D103:S103,"s")</f>
        <v>0</v>
      </c>
      <c r="X103" s="717"/>
      <c r="Z103" s="697"/>
      <c r="AA103" s="698"/>
    </row>
    <row r="104" spans="1:27" ht="27.95" customHeight="1" x14ac:dyDescent="0.2">
      <c r="A104" s="421"/>
      <c r="B104" s="319" t="s">
        <v>1264</v>
      </c>
      <c r="C104" s="260" t="s">
        <v>1283</v>
      </c>
      <c r="D104" s="742"/>
      <c r="E104" s="743"/>
      <c r="F104" s="742"/>
      <c r="G104" s="743"/>
      <c r="H104" s="742"/>
      <c r="I104" s="743"/>
      <c r="J104" s="742"/>
      <c r="K104" s="743"/>
      <c r="L104" s="742"/>
      <c r="M104" s="743"/>
      <c r="N104" s="742"/>
      <c r="O104" s="743"/>
      <c r="P104" s="742"/>
      <c r="Q104" s="743"/>
      <c r="R104" s="742"/>
      <c r="S104" s="743"/>
      <c r="T104" s="69"/>
      <c r="U104" s="67">
        <f t="shared" si="21"/>
        <v>0</v>
      </c>
      <c r="V104" s="417">
        <v>10</v>
      </c>
      <c r="W104" s="82">
        <f t="shared" si="22"/>
        <v>0</v>
      </c>
      <c r="X104" s="717"/>
      <c r="Z104" s="697"/>
      <c r="AA104" s="698"/>
    </row>
    <row r="105" spans="1:27" ht="27.95" customHeight="1" thickBot="1" x14ac:dyDescent="0.25">
      <c r="A105" s="421"/>
      <c r="B105" s="319" t="s">
        <v>1265</v>
      </c>
      <c r="C105" s="260" t="s">
        <v>1284</v>
      </c>
      <c r="D105" s="742"/>
      <c r="E105" s="743"/>
      <c r="F105" s="742"/>
      <c r="G105" s="743"/>
      <c r="H105" s="742"/>
      <c r="I105" s="743"/>
      <c r="J105" s="742"/>
      <c r="K105" s="743"/>
      <c r="L105" s="742"/>
      <c r="M105" s="743"/>
      <c r="N105" s="742"/>
      <c r="O105" s="743"/>
      <c r="P105" s="742"/>
      <c r="Q105" s="743"/>
      <c r="R105" s="742"/>
      <c r="S105" s="743"/>
      <c r="T105" s="69"/>
      <c r="U105" s="67">
        <f>IF(OR(D105="s",F105="s",H105="s",J105="s",L105="s",N105="s",P105="s",R105="s"), 0, IF(OR(D105="a",F105="a",H105="a",J105="a",L105="a",N105="a",P105="a",R105="a"),V105,0))</f>
        <v>0</v>
      </c>
      <c r="V105" s="417">
        <v>20</v>
      </c>
      <c r="W105" s="82">
        <f>COUNTIF(D105:S105,"a")+COUNTIF(D105:S105,"s")</f>
        <v>0</v>
      </c>
      <c r="X105" s="717"/>
      <c r="Z105" s="697" t="s">
        <v>656</v>
      </c>
      <c r="AA105" s="698"/>
    </row>
    <row r="106" spans="1:27" ht="21" customHeight="1" thickTop="1" thickBot="1" x14ac:dyDescent="0.25">
      <c r="A106" s="421"/>
      <c r="B106" s="80" t="s">
        <v>744</v>
      </c>
      <c r="C106" s="171"/>
      <c r="D106" s="750" t="s">
        <v>662</v>
      </c>
      <c r="E106" s="779"/>
      <c r="F106" s="779"/>
      <c r="G106" s="779"/>
      <c r="H106" s="779"/>
      <c r="I106" s="779"/>
      <c r="J106" s="779"/>
      <c r="K106" s="779"/>
      <c r="L106" s="779"/>
      <c r="M106" s="779"/>
      <c r="N106" s="779"/>
      <c r="O106" s="779"/>
      <c r="P106" s="779"/>
      <c r="Q106" s="779"/>
      <c r="R106" s="779"/>
      <c r="S106" s="779"/>
      <c r="T106" s="780"/>
      <c r="U106" s="2">
        <f>SUM(U95:U105)</f>
        <v>0</v>
      </c>
      <c r="V106" s="418">
        <f>SUM(V95:V101)+SUM(V103:V105)</f>
        <v>120</v>
      </c>
      <c r="W106" s="82"/>
      <c r="X106" s="721"/>
      <c r="Z106" s="697"/>
      <c r="AA106" s="698"/>
    </row>
    <row r="107" spans="1:27" ht="21" customHeight="1" thickBot="1" x14ac:dyDescent="0.25">
      <c r="A107" s="411"/>
      <c r="B107" s="391"/>
      <c r="C107" s="380"/>
      <c r="D107" s="945"/>
      <c r="E107" s="741"/>
      <c r="F107" s="775">
        <v>40</v>
      </c>
      <c r="G107" s="746"/>
      <c r="H107" s="746"/>
      <c r="I107" s="746"/>
      <c r="J107" s="746"/>
      <c r="K107" s="746"/>
      <c r="L107" s="746"/>
      <c r="M107" s="746"/>
      <c r="N107" s="746"/>
      <c r="O107" s="746"/>
      <c r="P107" s="746"/>
      <c r="Q107" s="746"/>
      <c r="R107" s="746"/>
      <c r="S107" s="746"/>
      <c r="T107" s="746"/>
      <c r="U107" s="746"/>
      <c r="V107" s="747"/>
      <c r="W107" s="82"/>
      <c r="Z107" s="697"/>
      <c r="AA107" s="698"/>
    </row>
    <row r="108" spans="1:27" ht="30" customHeight="1" thickBot="1" x14ac:dyDescent="0.25">
      <c r="A108" s="408"/>
      <c r="B108" s="333" t="s">
        <v>1266</v>
      </c>
      <c r="C108" s="251" t="s">
        <v>1267</v>
      </c>
      <c r="D108" s="550"/>
      <c r="E108" s="99"/>
      <c r="F108" s="550"/>
      <c r="G108" s="99"/>
      <c r="H108" s="550"/>
      <c r="I108" s="549"/>
      <c r="J108" s="249"/>
      <c r="K108" s="99"/>
      <c r="L108" s="550"/>
      <c r="M108" s="549"/>
      <c r="N108" s="550"/>
      <c r="O108" s="549"/>
      <c r="P108" s="550"/>
      <c r="Q108" s="549"/>
      <c r="R108" s="550"/>
      <c r="S108" s="549"/>
      <c r="T108" s="390"/>
      <c r="U108" s="374"/>
      <c r="V108" s="414"/>
      <c r="W108" s="82"/>
      <c r="Z108" s="697"/>
      <c r="AA108" s="698"/>
    </row>
    <row r="109" spans="1:27" ht="30" customHeight="1" thickBot="1" x14ac:dyDescent="0.25">
      <c r="A109" s="433"/>
      <c r="B109" s="322"/>
      <c r="C109" s="524" t="s">
        <v>1293</v>
      </c>
      <c r="D109" s="975"/>
      <c r="E109" s="997"/>
      <c r="F109" s="997"/>
      <c r="G109" s="997"/>
      <c r="H109" s="997"/>
      <c r="I109" s="997"/>
      <c r="J109" s="997"/>
      <c r="K109" s="997"/>
      <c r="L109" s="997"/>
      <c r="M109" s="997"/>
      <c r="N109" s="997"/>
      <c r="O109" s="997"/>
      <c r="P109" s="997"/>
      <c r="Q109" s="997"/>
      <c r="R109" s="997"/>
      <c r="S109" s="997"/>
      <c r="T109" s="997"/>
      <c r="U109" s="997"/>
      <c r="V109" s="998"/>
      <c r="W109" s="82"/>
      <c r="Z109" s="697"/>
      <c r="AA109" s="698"/>
    </row>
    <row r="110" spans="1:27" ht="27.95" customHeight="1" x14ac:dyDescent="0.2">
      <c r="A110" s="518"/>
      <c r="B110" s="519" t="s">
        <v>1268</v>
      </c>
      <c r="C110" s="516" t="s">
        <v>1286</v>
      </c>
      <c r="D110" s="748"/>
      <c r="E110" s="749"/>
      <c r="F110" s="748"/>
      <c r="G110" s="749"/>
      <c r="H110" s="748"/>
      <c r="I110" s="749"/>
      <c r="J110" s="748"/>
      <c r="K110" s="749"/>
      <c r="L110" s="748"/>
      <c r="M110" s="749"/>
      <c r="N110" s="748"/>
      <c r="O110" s="749"/>
      <c r="P110" s="748"/>
      <c r="Q110" s="749"/>
      <c r="R110" s="748"/>
      <c r="S110" s="749"/>
      <c r="T110" s="112"/>
      <c r="U110" s="70">
        <f>IF(OR(D110="s",F110="s",H110="s",J110="s",L110="s",N110="s",P110="s",R110="s"), 0, IF(OR(D110="a",F110="a",H110="a",J110="a",L110="a",N110="a",P110="a",R110="a"),V110,0))</f>
        <v>0</v>
      </c>
      <c r="V110" s="420">
        <f>IF(T110="na",0,5)</f>
        <v>5</v>
      </c>
      <c r="W110" s="82">
        <f t="shared" ref="W110:W115" si="26">COUNTIF(D110:S110,"a")+COUNTIF(D110:S110,"s")+COUNTIF(T110,"na")</f>
        <v>0</v>
      </c>
      <c r="X110" s="717"/>
      <c r="Z110" s="697"/>
      <c r="AA110" s="698"/>
    </row>
    <row r="111" spans="1:27" ht="45" customHeight="1" x14ac:dyDescent="0.2">
      <c r="A111" s="518"/>
      <c r="B111" s="520" t="s">
        <v>1269</v>
      </c>
      <c r="C111" s="522" t="s">
        <v>1287</v>
      </c>
      <c r="D111" s="742"/>
      <c r="E111" s="743"/>
      <c r="F111" s="742"/>
      <c r="G111" s="743"/>
      <c r="H111" s="742"/>
      <c r="I111" s="743"/>
      <c r="J111" s="742"/>
      <c r="K111" s="743"/>
      <c r="L111" s="742"/>
      <c r="M111" s="743"/>
      <c r="N111" s="742"/>
      <c r="O111" s="743"/>
      <c r="P111" s="742"/>
      <c r="Q111" s="743"/>
      <c r="R111" s="742"/>
      <c r="S111" s="743"/>
      <c r="T111" s="112"/>
      <c r="U111" s="67">
        <f t="shared" ref="U111:U116" si="27">IF(OR(D111="s",F111="s",H111="s",J111="s",L111="s",N111="s",P111="s",R111="s"), 0, IF(OR(D111="a",F111="a",H111="a",J111="a",L111="a",N111="a",P111="a",R111="a"),V111,0))</f>
        <v>0</v>
      </c>
      <c r="V111" s="417">
        <f>IF(T111="na",0,5)</f>
        <v>5</v>
      </c>
      <c r="W111" s="82">
        <f t="shared" si="26"/>
        <v>0</v>
      </c>
      <c r="X111" s="717"/>
      <c r="Z111" s="697"/>
      <c r="AA111" s="698"/>
    </row>
    <row r="112" spans="1:27" ht="45" customHeight="1" x14ac:dyDescent="0.2">
      <c r="A112" s="518"/>
      <c r="B112" s="520" t="s">
        <v>1270</v>
      </c>
      <c r="C112" s="525" t="s">
        <v>1288</v>
      </c>
      <c r="D112" s="742"/>
      <c r="E112" s="743"/>
      <c r="F112" s="742"/>
      <c r="G112" s="743"/>
      <c r="H112" s="742"/>
      <c r="I112" s="743"/>
      <c r="J112" s="742"/>
      <c r="K112" s="743"/>
      <c r="L112" s="742"/>
      <c r="M112" s="743"/>
      <c r="N112" s="742"/>
      <c r="O112" s="743"/>
      <c r="P112" s="742"/>
      <c r="Q112" s="743"/>
      <c r="R112" s="742"/>
      <c r="S112" s="743"/>
      <c r="T112" s="112"/>
      <c r="U112" s="67">
        <f t="shared" si="27"/>
        <v>0</v>
      </c>
      <c r="V112" s="417">
        <f>IF(T112="na",0,15)</f>
        <v>15</v>
      </c>
      <c r="W112" s="82">
        <f t="shared" si="26"/>
        <v>0</v>
      </c>
      <c r="X112" s="717"/>
      <c r="Z112" s="697" t="s">
        <v>656</v>
      </c>
      <c r="AA112" s="698"/>
    </row>
    <row r="113" spans="1:27" ht="45" customHeight="1" x14ac:dyDescent="0.2">
      <c r="A113" s="518"/>
      <c r="B113" s="520" t="s">
        <v>1271</v>
      </c>
      <c r="C113" s="522" t="s">
        <v>1289</v>
      </c>
      <c r="D113" s="742"/>
      <c r="E113" s="743"/>
      <c r="F113" s="742"/>
      <c r="G113" s="743"/>
      <c r="H113" s="742"/>
      <c r="I113" s="743"/>
      <c r="J113" s="742"/>
      <c r="K113" s="743"/>
      <c r="L113" s="742"/>
      <c r="M113" s="743"/>
      <c r="N113" s="742"/>
      <c r="O113" s="743"/>
      <c r="P113" s="742"/>
      <c r="Q113" s="743"/>
      <c r="R113" s="742"/>
      <c r="S113" s="743"/>
      <c r="T113" s="112"/>
      <c r="U113" s="67">
        <f t="shared" si="27"/>
        <v>0</v>
      </c>
      <c r="V113" s="417">
        <f>IF(T113="na",0,5)</f>
        <v>5</v>
      </c>
      <c r="W113" s="82">
        <f t="shared" si="26"/>
        <v>0</v>
      </c>
      <c r="X113" s="717"/>
      <c r="Z113" s="697" t="s">
        <v>656</v>
      </c>
      <c r="AA113" s="698"/>
    </row>
    <row r="114" spans="1:27" ht="45" customHeight="1" x14ac:dyDescent="0.2">
      <c r="A114" s="518"/>
      <c r="B114" s="520" t="s">
        <v>1285</v>
      </c>
      <c r="C114" s="522" t="s">
        <v>1290</v>
      </c>
      <c r="D114" s="742"/>
      <c r="E114" s="743"/>
      <c r="F114" s="742"/>
      <c r="G114" s="743"/>
      <c r="H114" s="742"/>
      <c r="I114" s="743"/>
      <c r="J114" s="742"/>
      <c r="K114" s="743"/>
      <c r="L114" s="742"/>
      <c r="M114" s="743"/>
      <c r="N114" s="742"/>
      <c r="O114" s="743"/>
      <c r="P114" s="742"/>
      <c r="Q114" s="743"/>
      <c r="R114" s="742"/>
      <c r="S114" s="743"/>
      <c r="T114" s="112"/>
      <c r="U114" s="67">
        <f t="shared" si="27"/>
        <v>0</v>
      </c>
      <c r="V114" s="417">
        <f>IF(T114="na",0,5)</f>
        <v>5</v>
      </c>
      <c r="W114" s="82">
        <f t="shared" si="26"/>
        <v>0</v>
      </c>
      <c r="X114" s="717"/>
      <c r="Z114" s="697"/>
      <c r="AA114" s="698"/>
    </row>
    <row r="115" spans="1:27" ht="45" customHeight="1" x14ac:dyDescent="0.2">
      <c r="A115" s="518"/>
      <c r="B115" s="520" t="s">
        <v>1272</v>
      </c>
      <c r="C115" s="522" t="s">
        <v>1291</v>
      </c>
      <c r="D115" s="742"/>
      <c r="E115" s="743"/>
      <c r="F115" s="742"/>
      <c r="G115" s="743"/>
      <c r="H115" s="742"/>
      <c r="I115" s="743"/>
      <c r="J115" s="742"/>
      <c r="K115" s="743"/>
      <c r="L115" s="742"/>
      <c r="M115" s="743"/>
      <c r="N115" s="742"/>
      <c r="O115" s="743"/>
      <c r="P115" s="742"/>
      <c r="Q115" s="743"/>
      <c r="R115" s="742"/>
      <c r="S115" s="743"/>
      <c r="T115" s="112"/>
      <c r="U115" s="67">
        <f t="shared" si="27"/>
        <v>0</v>
      </c>
      <c r="V115" s="417">
        <f>IF(T115="na",0,10)</f>
        <v>10</v>
      </c>
      <c r="W115" s="82">
        <f t="shared" si="26"/>
        <v>0</v>
      </c>
      <c r="X115" s="717"/>
      <c r="Z115" s="697" t="s">
        <v>656</v>
      </c>
      <c r="AA115" s="698"/>
    </row>
    <row r="116" spans="1:27" ht="27.95" customHeight="1" thickBot="1" x14ac:dyDescent="0.25">
      <c r="A116" s="518"/>
      <c r="B116" s="520" t="s">
        <v>1273</v>
      </c>
      <c r="C116" s="523" t="s">
        <v>1292</v>
      </c>
      <c r="D116" s="742"/>
      <c r="E116" s="743"/>
      <c r="F116" s="742"/>
      <c r="G116" s="743"/>
      <c r="H116" s="742"/>
      <c r="I116" s="743"/>
      <c r="J116" s="742"/>
      <c r="K116" s="743"/>
      <c r="L116" s="742"/>
      <c r="M116" s="743"/>
      <c r="N116" s="742"/>
      <c r="O116" s="743"/>
      <c r="P116" s="742"/>
      <c r="Q116" s="743"/>
      <c r="R116" s="742"/>
      <c r="S116" s="743"/>
      <c r="T116" s="112"/>
      <c r="U116" s="67">
        <f t="shared" si="27"/>
        <v>0</v>
      </c>
      <c r="V116" s="417">
        <f>IF(T116="na",0,10)</f>
        <v>10</v>
      </c>
      <c r="W116" s="82">
        <f>COUNTIF(D116:S116,"a")+COUNTIF(D116:S116,"s")+COUNTIF(T116,"NA")</f>
        <v>0</v>
      </c>
      <c r="X116" s="717"/>
      <c r="Z116" s="697"/>
      <c r="AA116" s="698"/>
    </row>
    <row r="117" spans="1:27" ht="21" customHeight="1" thickTop="1" thickBot="1" x14ac:dyDescent="0.25">
      <c r="A117" s="421"/>
      <c r="B117" s="80"/>
      <c r="C117" s="171"/>
      <c r="D117" s="750" t="s">
        <v>662</v>
      </c>
      <c r="E117" s="779"/>
      <c r="F117" s="779"/>
      <c r="G117" s="779"/>
      <c r="H117" s="779"/>
      <c r="I117" s="779"/>
      <c r="J117" s="779"/>
      <c r="K117" s="779"/>
      <c r="L117" s="779"/>
      <c r="M117" s="779"/>
      <c r="N117" s="779"/>
      <c r="O117" s="779"/>
      <c r="P117" s="779"/>
      <c r="Q117" s="779"/>
      <c r="R117" s="779"/>
      <c r="S117" s="779"/>
      <c r="T117" s="780"/>
      <c r="U117" s="2">
        <f>SUM(U110:U116)</f>
        <v>0</v>
      </c>
      <c r="V117" s="418">
        <f>SUM(V110:V116)</f>
        <v>55</v>
      </c>
      <c r="W117" s="82"/>
      <c r="X117" s="721"/>
      <c r="Z117" s="697"/>
      <c r="AA117" s="698"/>
    </row>
    <row r="118" spans="1:27" ht="21" customHeight="1" thickBot="1" x14ac:dyDescent="0.25">
      <c r="A118" s="411"/>
      <c r="B118" s="391"/>
      <c r="C118" s="380"/>
      <c r="D118" s="945"/>
      <c r="E118" s="741"/>
      <c r="F118" s="770">
        <f>IF(T110="na",0,30)</f>
        <v>30</v>
      </c>
      <c r="G118" s="771"/>
      <c r="H118" s="771"/>
      <c r="I118" s="771"/>
      <c r="J118" s="771"/>
      <c r="K118" s="771"/>
      <c r="L118" s="771"/>
      <c r="M118" s="771"/>
      <c r="N118" s="771"/>
      <c r="O118" s="771"/>
      <c r="P118" s="771"/>
      <c r="Q118" s="771"/>
      <c r="R118" s="771"/>
      <c r="S118" s="771"/>
      <c r="T118" s="771"/>
      <c r="U118" s="771"/>
      <c r="V118" s="772"/>
      <c r="W118" s="82"/>
      <c r="Z118" s="697"/>
      <c r="AA118" s="698"/>
    </row>
    <row r="119" spans="1:27" ht="30" customHeight="1" thickBot="1" x14ac:dyDescent="0.25">
      <c r="A119" s="513" t="s">
        <v>716</v>
      </c>
      <c r="B119" s="544">
        <v>2120</v>
      </c>
      <c r="C119" s="251" t="s">
        <v>1821</v>
      </c>
      <c r="D119" s="550" t="s">
        <v>661</v>
      </c>
      <c r="E119" s="256"/>
      <c r="F119" s="550" t="s">
        <v>661</v>
      </c>
      <c r="G119" s="99"/>
      <c r="H119" s="550" t="s">
        <v>661</v>
      </c>
      <c r="I119" s="549"/>
      <c r="J119" s="249"/>
      <c r="K119" s="99"/>
      <c r="L119" s="257"/>
      <c r="M119" s="255"/>
      <c r="N119" s="258"/>
      <c r="O119" s="256"/>
      <c r="P119" s="257"/>
      <c r="Q119" s="255"/>
      <c r="R119" s="257"/>
      <c r="S119" s="255"/>
      <c r="T119" s="459"/>
      <c r="U119" s="374"/>
      <c r="V119" s="414"/>
      <c r="W119" s="82"/>
      <c r="Y119" s="700"/>
      <c r="Z119" s="697"/>
      <c r="AA119" s="698"/>
    </row>
    <row r="120" spans="1:27" ht="45" customHeight="1" x14ac:dyDescent="0.2">
      <c r="A120" s="429" t="s">
        <v>482</v>
      </c>
      <c r="B120" s="178">
        <v>2120.4</v>
      </c>
      <c r="C120" s="147" t="s">
        <v>1823</v>
      </c>
      <c r="D120" s="748"/>
      <c r="E120" s="749"/>
      <c r="F120" s="748"/>
      <c r="G120" s="749"/>
      <c r="H120" s="748"/>
      <c r="I120" s="749"/>
      <c r="J120" s="748"/>
      <c r="K120" s="749"/>
      <c r="L120" s="748"/>
      <c r="M120" s="749"/>
      <c r="N120" s="748"/>
      <c r="O120" s="749"/>
      <c r="P120" s="748"/>
      <c r="Q120" s="749"/>
      <c r="R120" s="748"/>
      <c r="S120" s="749"/>
      <c r="T120" s="112"/>
      <c r="U120" s="70">
        <f>IF(OR(D120="s",F120="s",H120="s",J120="s",L120="s",N120="s",P120="s",R120="s"), 0, IF(OR(D120="a",F120="a",H120="a",J120="a",L120="a",N120="a",P120="a",R120="a"),V120,0))</f>
        <v>0</v>
      </c>
      <c r="V120" s="417">
        <f>IF(T120="na",0,5)</f>
        <v>5</v>
      </c>
      <c r="W120" s="82">
        <f t="shared" ref="W120" si="28">COUNTIF(D120:S120,"a")+COUNTIF(D120:S120,"s")+COUNTIF(T120,"na")</f>
        <v>0</v>
      </c>
      <c r="X120" s="510"/>
      <c r="Y120" s="700"/>
      <c r="Z120" s="697" t="s">
        <v>656</v>
      </c>
      <c r="AA120" s="698"/>
    </row>
    <row r="121" spans="1:27" ht="45" customHeight="1" x14ac:dyDescent="0.2">
      <c r="A121" s="429" t="s">
        <v>716</v>
      </c>
      <c r="B121" s="178">
        <v>2120.1</v>
      </c>
      <c r="C121" s="147" t="s">
        <v>1822</v>
      </c>
      <c r="D121" s="742"/>
      <c r="E121" s="743"/>
      <c r="F121" s="742"/>
      <c r="G121" s="743"/>
      <c r="H121" s="742"/>
      <c r="I121" s="743"/>
      <c r="J121" s="742"/>
      <c r="K121" s="743"/>
      <c r="L121" s="742"/>
      <c r="M121" s="743"/>
      <c r="N121" s="742"/>
      <c r="O121" s="743"/>
      <c r="P121" s="742"/>
      <c r="Q121" s="743"/>
      <c r="R121" s="742"/>
      <c r="S121" s="743"/>
      <c r="T121" s="112"/>
      <c r="U121" s="67">
        <f>IF(OR(D121="s",F121="s",H121="s",J121="s",L121="s",N121="s",P121="s",R121="s"), 0, IF(OR(D121="a",F121="a",H121="a",J121="a",L121="a",N121="a",P121="a",R121="a"),V121,0))</f>
        <v>0</v>
      </c>
      <c r="V121" s="417">
        <f>IF(T121="na",0,5)</f>
        <v>5</v>
      </c>
      <c r="W121" s="82">
        <f>COUNTIF(D121:S121,"a")+COUNTIF(D121:S121,"s")+COUNTIF(T121,"NA")</f>
        <v>0</v>
      </c>
      <c r="X121" s="510"/>
      <c r="Y121" s="700"/>
      <c r="Z121" s="697" t="s">
        <v>656</v>
      </c>
      <c r="AA121" s="698"/>
    </row>
    <row r="122" spans="1:27" ht="45" customHeight="1" x14ac:dyDescent="0.2">
      <c r="A122" s="429" t="s">
        <v>716</v>
      </c>
      <c r="B122" s="178" t="s">
        <v>963</v>
      </c>
      <c r="C122" s="147" t="s">
        <v>1824</v>
      </c>
      <c r="D122" s="742"/>
      <c r="E122" s="743"/>
      <c r="F122" s="742"/>
      <c r="G122" s="743"/>
      <c r="H122" s="742"/>
      <c r="I122" s="743"/>
      <c r="J122" s="742"/>
      <c r="K122" s="743"/>
      <c r="L122" s="742"/>
      <c r="M122" s="743"/>
      <c r="N122" s="742"/>
      <c r="O122" s="743"/>
      <c r="P122" s="742"/>
      <c r="Q122" s="743"/>
      <c r="R122" s="742"/>
      <c r="S122" s="743"/>
      <c r="T122" s="291"/>
      <c r="U122" s="67">
        <f t="shared" ref="U122" si="29">IF(OR(D122="s",F122="s",H122="s",J122="s",L122="s",N122="s",P122="s",R122="s"), 0, IF(OR(D122="a",F122="a",H122="a",J122="a",L122="a",N122="a",P122="a",R122="a"),V122,0))</f>
        <v>0</v>
      </c>
      <c r="V122" s="417">
        <v>10</v>
      </c>
      <c r="W122" s="82">
        <f>IF((COUNTIF(D122:S122,"a")+COUNTIF(D122:S122,"s"))&gt;0,IF(OR((COUNTIF(D123:S123,"a")+COUNTIF(D123:S123,"s"))),0,COUNTIF(D122:S122,"a")+COUNTIF(D122:S122,"s")),COUNTIF(D122:S122,"a")+COUNTIF(D122:S122,"s"))</f>
        <v>0</v>
      </c>
      <c r="X122" s="717"/>
      <c r="Y122" s="699"/>
      <c r="Z122" s="697" t="s">
        <v>656</v>
      </c>
      <c r="AA122" s="698"/>
    </row>
    <row r="123" spans="1:27" ht="45" customHeight="1" x14ac:dyDescent="0.2">
      <c r="A123" s="429" t="s">
        <v>482</v>
      </c>
      <c r="B123" s="178">
        <v>2120.6999999999998</v>
      </c>
      <c r="C123" s="253" t="s">
        <v>1827</v>
      </c>
      <c r="D123" s="742"/>
      <c r="E123" s="743"/>
      <c r="F123" s="742"/>
      <c r="G123" s="743"/>
      <c r="H123" s="742"/>
      <c r="I123" s="743"/>
      <c r="J123" s="742"/>
      <c r="K123" s="743"/>
      <c r="L123" s="742"/>
      <c r="M123" s="743"/>
      <c r="N123" s="742"/>
      <c r="O123" s="743"/>
      <c r="P123" s="742"/>
      <c r="Q123" s="743"/>
      <c r="R123" s="742"/>
      <c r="S123" s="743"/>
      <c r="T123" s="693"/>
      <c r="U123" s="109">
        <f>IF(OR(D123="s",F123="s",H123="s",J123="s",L123="s",N123="s",P123="s",R123="s"), 0, IF(OR(D123="a",F123="a",H123="a",J123="a",L123="a",N123="a",P123="a",R123="a"),V123,0))</f>
        <v>0</v>
      </c>
      <c r="V123" s="417">
        <v>15</v>
      </c>
      <c r="W123" s="82">
        <f>IF((COUNTIF(D123:S123,"a")+COUNTIF(D123:S123,"s"))&gt;0,IF(OR((COUNTIF(D122:S122,"a")+COUNTIF(D122:S122,"s"))),0,COUNTIF(D123:S123,"a")+COUNTIF(D123:S123,"s")),COUNTIF(D123:S123,"a")+COUNTIF(D123:S123,"s"))</f>
        <v>0</v>
      </c>
      <c r="X123" s="717"/>
      <c r="Z123" s="697"/>
      <c r="AA123" s="698"/>
    </row>
    <row r="124" spans="1:27" ht="45" customHeight="1" x14ac:dyDescent="0.2">
      <c r="A124" s="429" t="s">
        <v>1839</v>
      </c>
      <c r="B124" s="178">
        <v>2120.5</v>
      </c>
      <c r="C124" s="147" t="s">
        <v>1825</v>
      </c>
      <c r="D124" s="744"/>
      <c r="E124" s="745"/>
      <c r="F124" s="744"/>
      <c r="G124" s="745"/>
      <c r="H124" s="744"/>
      <c r="I124" s="745"/>
      <c r="J124" s="744"/>
      <c r="K124" s="745"/>
      <c r="L124" s="744"/>
      <c r="M124" s="745"/>
      <c r="N124" s="744"/>
      <c r="O124" s="745"/>
      <c r="P124" s="744"/>
      <c r="Q124" s="745"/>
      <c r="R124" s="744"/>
      <c r="S124" s="745"/>
      <c r="T124" s="69"/>
      <c r="U124" s="67">
        <f>IF(OR(D124="s",F124="s",H124="s",J124="s",L124="s",N124="s",P124="s",R124="s"), 0, IF(OR(D124="a",F124="a",H124="a",J124="a",L124="a",N124="a",P124="a",R124="a"),V124,0))</f>
        <v>0</v>
      </c>
      <c r="V124" s="417">
        <v>10</v>
      </c>
      <c r="W124" s="82">
        <f>COUNTIF(D124:S124,"a")+COUNTIF(D124:S124,"s")+COUNTIF(T124,"NA")</f>
        <v>0</v>
      </c>
      <c r="X124" s="510"/>
      <c r="Y124" s="700"/>
      <c r="Z124" s="697" t="s">
        <v>656</v>
      </c>
      <c r="AA124" s="698"/>
    </row>
    <row r="125" spans="1:27" ht="27.95" customHeight="1" thickBot="1" x14ac:dyDescent="0.25">
      <c r="A125" s="429" t="s">
        <v>1839</v>
      </c>
      <c r="B125" s="178">
        <v>2120.6</v>
      </c>
      <c r="C125" s="147" t="s">
        <v>1826</v>
      </c>
      <c r="D125" s="742"/>
      <c r="E125" s="743"/>
      <c r="F125" s="742"/>
      <c r="G125" s="743"/>
      <c r="H125" s="742"/>
      <c r="I125" s="743"/>
      <c r="J125" s="742"/>
      <c r="K125" s="743"/>
      <c r="L125" s="742"/>
      <c r="M125" s="743"/>
      <c r="N125" s="742"/>
      <c r="O125" s="743"/>
      <c r="P125" s="742"/>
      <c r="Q125" s="743"/>
      <c r="R125" s="742"/>
      <c r="S125" s="743"/>
      <c r="T125" s="69"/>
      <c r="U125" s="67">
        <f>IF(OR(D125="s",F125="s",H125="s",J125="s",L125="s",N125="s",P125="s",R125="s"), 0, IF(OR(D125="a",F125="a",H125="a",J125="a",L125="a",N125="a",P125="a",R125="a"),V125,0))</f>
        <v>0</v>
      </c>
      <c r="V125" s="417">
        <v>10</v>
      </c>
      <c r="W125" s="82">
        <f>COUNTIF(D125:S125,"a")+COUNTIF(D125:S125,"s")+COUNTIF(T125,"NA")</f>
        <v>0</v>
      </c>
      <c r="X125" s="510"/>
      <c r="Y125" s="700"/>
      <c r="Z125" s="697" t="s">
        <v>656</v>
      </c>
      <c r="AA125" s="698"/>
    </row>
    <row r="126" spans="1:27" ht="21" customHeight="1" thickTop="1" thickBot="1" x14ac:dyDescent="0.25">
      <c r="A126" s="421" t="s">
        <v>272</v>
      </c>
      <c r="B126" s="175"/>
      <c r="C126" s="172"/>
      <c r="D126" s="750" t="s">
        <v>662</v>
      </c>
      <c r="E126" s="779"/>
      <c r="F126" s="779"/>
      <c r="G126" s="779"/>
      <c r="H126" s="779"/>
      <c r="I126" s="779"/>
      <c r="J126" s="779"/>
      <c r="K126" s="779"/>
      <c r="L126" s="779"/>
      <c r="M126" s="779"/>
      <c r="N126" s="779"/>
      <c r="O126" s="779"/>
      <c r="P126" s="779"/>
      <c r="Q126" s="779"/>
      <c r="R126" s="779"/>
      <c r="S126" s="779"/>
      <c r="T126" s="780"/>
      <c r="U126" s="2">
        <f>SUM(U120:U125)</f>
        <v>0</v>
      </c>
      <c r="V126" s="448">
        <f>SUM(V120:V121)+SUM(V123:V125)</f>
        <v>45</v>
      </c>
      <c r="W126" s="82"/>
      <c r="X126" s="721"/>
      <c r="Y126" s="700"/>
      <c r="Z126" s="697"/>
      <c r="AA126" s="698"/>
    </row>
    <row r="127" spans="1:27" ht="21" customHeight="1" thickBot="1" x14ac:dyDescent="0.25">
      <c r="A127" s="421" t="s">
        <v>272</v>
      </c>
      <c r="B127" s="75"/>
      <c r="C127" s="165"/>
      <c r="D127" s="945"/>
      <c r="E127" s="741"/>
      <c r="F127" s="1027">
        <f>SUM(V120:V122)+SUM(V124:V125)</f>
        <v>40</v>
      </c>
      <c r="G127" s="746"/>
      <c r="H127" s="746"/>
      <c r="I127" s="746"/>
      <c r="J127" s="746"/>
      <c r="K127" s="746"/>
      <c r="L127" s="746"/>
      <c r="M127" s="746"/>
      <c r="N127" s="746"/>
      <c r="O127" s="746"/>
      <c r="P127" s="746"/>
      <c r="Q127" s="746"/>
      <c r="R127" s="746"/>
      <c r="S127" s="746"/>
      <c r="T127" s="746"/>
      <c r="U127" s="746"/>
      <c r="V127" s="747"/>
      <c r="W127" s="82"/>
      <c r="Y127" s="700"/>
      <c r="Z127" s="697"/>
      <c r="AA127" s="698"/>
    </row>
    <row r="128" spans="1:27" ht="30" customHeight="1" thickBot="1" x14ac:dyDescent="0.25">
      <c r="A128" s="421"/>
      <c r="B128" s="330">
        <v>2200</v>
      </c>
      <c r="C128" s="146" t="s">
        <v>617</v>
      </c>
      <c r="D128" s="30"/>
      <c r="E128" s="31"/>
      <c r="F128" s="27"/>
      <c r="G128" s="37"/>
      <c r="H128" s="26" t="s">
        <v>661</v>
      </c>
      <c r="I128" s="35"/>
      <c r="J128" s="25" t="s">
        <v>661</v>
      </c>
      <c r="K128" s="37"/>
      <c r="L128" s="27"/>
      <c r="M128" s="29"/>
      <c r="N128" s="30"/>
      <c r="O128" s="31"/>
      <c r="P128" s="27"/>
      <c r="Q128" s="29"/>
      <c r="R128" s="27"/>
      <c r="S128" s="29"/>
      <c r="T128" s="42"/>
      <c r="U128" s="33"/>
      <c r="V128" s="419"/>
      <c r="W128" s="82"/>
      <c r="Z128" s="697"/>
      <c r="AA128" s="698"/>
    </row>
    <row r="129" spans="1:27" ht="27.95" customHeight="1" x14ac:dyDescent="0.2">
      <c r="A129" s="421"/>
      <c r="B129" s="318" t="s">
        <v>853</v>
      </c>
      <c r="C129" s="248" t="s">
        <v>67</v>
      </c>
      <c r="D129" s="748"/>
      <c r="E129" s="749"/>
      <c r="F129" s="748"/>
      <c r="G129" s="749"/>
      <c r="H129" s="748"/>
      <c r="I129" s="749"/>
      <c r="J129" s="748"/>
      <c r="K129" s="749"/>
      <c r="L129" s="748"/>
      <c r="M129" s="749"/>
      <c r="N129" s="748"/>
      <c r="O129" s="749"/>
      <c r="P129" s="748"/>
      <c r="Q129" s="749"/>
      <c r="R129" s="748"/>
      <c r="S129" s="749"/>
      <c r="T129" s="69"/>
      <c r="U129" s="70">
        <f>IF(OR(D129="s",F129="s",H129="s",J129="s",L129="s",N129="s",P129="s",R129="s"), 0, IF(OR(D129="a",F129="a",H129="a",J129="a",L129="a",N129="a",P129="a",R129="a"),V129,0))</f>
        <v>0</v>
      </c>
      <c r="V129" s="420">
        <v>10</v>
      </c>
      <c r="W129" s="82">
        <f>COUNTIF(D129:S129,"a")+COUNTIF(D129:S129,"s")</f>
        <v>0</v>
      </c>
      <c r="X129" s="717"/>
      <c r="Z129" s="697" t="s">
        <v>656</v>
      </c>
      <c r="AA129" s="698"/>
    </row>
    <row r="130" spans="1:27" ht="27.95" customHeight="1" thickBot="1" x14ac:dyDescent="0.25">
      <c r="A130" s="421"/>
      <c r="B130" s="319" t="s">
        <v>854</v>
      </c>
      <c r="C130" s="274" t="s">
        <v>765</v>
      </c>
      <c r="D130" s="751"/>
      <c r="E130" s="752"/>
      <c r="F130" s="751"/>
      <c r="G130" s="752"/>
      <c r="H130" s="751"/>
      <c r="I130" s="752"/>
      <c r="J130" s="751"/>
      <c r="K130" s="752"/>
      <c r="L130" s="751"/>
      <c r="M130" s="752"/>
      <c r="N130" s="751"/>
      <c r="O130" s="752"/>
      <c r="P130" s="751"/>
      <c r="Q130" s="752"/>
      <c r="R130" s="751"/>
      <c r="S130" s="752"/>
      <c r="T130" s="69"/>
      <c r="U130" s="68">
        <f>IF(OR(D130="s",F130="s",H130="s",J130="s",L130="s",N130="s",P130="s",R130="s"), 0, IF(OR(D130="a",F130="a",H130="a",J130="a",L130="a",N130="a",P130="a",R130="a"),V130,0))</f>
        <v>0</v>
      </c>
      <c r="V130" s="431">
        <v>10</v>
      </c>
      <c r="W130" s="82">
        <f>COUNTIF(D130:S130,"a")+COUNTIF(D130:S130,"s")</f>
        <v>0</v>
      </c>
      <c r="X130" s="717"/>
      <c r="Z130" s="697" t="s">
        <v>656</v>
      </c>
      <c r="AA130" s="698"/>
    </row>
    <row r="131" spans="1:27" ht="21" customHeight="1" thickTop="1" thickBot="1" x14ac:dyDescent="0.25">
      <c r="A131" s="421"/>
      <c r="B131" s="175"/>
      <c r="C131" s="172"/>
      <c r="D131" s="750" t="s">
        <v>662</v>
      </c>
      <c r="E131" s="779"/>
      <c r="F131" s="779"/>
      <c r="G131" s="779"/>
      <c r="H131" s="779"/>
      <c r="I131" s="779"/>
      <c r="J131" s="779"/>
      <c r="K131" s="779"/>
      <c r="L131" s="779"/>
      <c r="M131" s="779"/>
      <c r="N131" s="779"/>
      <c r="O131" s="779"/>
      <c r="P131" s="779"/>
      <c r="Q131" s="779"/>
      <c r="R131" s="779"/>
      <c r="S131" s="779"/>
      <c r="T131" s="780"/>
      <c r="U131" s="2">
        <f>SUM(U129:U130)</f>
        <v>0</v>
      </c>
      <c r="V131" s="448">
        <f>SUM(V129:V130)</f>
        <v>20</v>
      </c>
      <c r="W131" s="82"/>
      <c r="X131" s="721"/>
      <c r="Z131" s="697"/>
      <c r="AA131" s="698"/>
    </row>
    <row r="132" spans="1:27" ht="21" customHeight="1" thickBot="1" x14ac:dyDescent="0.25">
      <c r="A132" s="421"/>
      <c r="B132" s="75"/>
      <c r="C132" s="165"/>
      <c r="D132" s="945"/>
      <c r="E132" s="741"/>
      <c r="F132" s="999">
        <v>20</v>
      </c>
      <c r="G132" s="746"/>
      <c r="H132" s="746"/>
      <c r="I132" s="746"/>
      <c r="J132" s="746"/>
      <c r="K132" s="746"/>
      <c r="L132" s="746"/>
      <c r="M132" s="746"/>
      <c r="N132" s="746"/>
      <c r="O132" s="746"/>
      <c r="P132" s="746"/>
      <c r="Q132" s="746"/>
      <c r="R132" s="746"/>
      <c r="S132" s="746"/>
      <c r="T132" s="746"/>
      <c r="U132" s="746"/>
      <c r="V132" s="747"/>
      <c r="W132" s="82"/>
      <c r="Z132" s="697"/>
      <c r="AA132" s="698"/>
    </row>
    <row r="133" spans="1:27" ht="30" customHeight="1" thickBot="1" x14ac:dyDescent="0.25">
      <c r="A133" s="421"/>
      <c r="B133" s="322">
        <v>2300</v>
      </c>
      <c r="C133" s="264" t="s">
        <v>618</v>
      </c>
      <c r="D133" s="26" t="s">
        <v>661</v>
      </c>
      <c r="E133" s="35"/>
      <c r="F133" s="36" t="s">
        <v>661</v>
      </c>
      <c r="G133" s="37"/>
      <c r="H133" s="26"/>
      <c r="I133" s="35"/>
      <c r="J133" s="36" t="s">
        <v>661</v>
      </c>
      <c r="K133" s="37"/>
      <c r="L133" s="26"/>
      <c r="M133" s="43"/>
      <c r="N133" s="44"/>
      <c r="O133" s="45"/>
      <c r="P133" s="46"/>
      <c r="Q133" s="45"/>
      <c r="R133" s="46"/>
      <c r="S133" s="43"/>
      <c r="T133" s="41"/>
      <c r="U133" s="47"/>
      <c r="V133" s="47"/>
      <c r="W133" s="82"/>
      <c r="Z133" s="697"/>
      <c r="AA133" s="698"/>
    </row>
    <row r="134" spans="1:27" ht="27.95" customHeight="1" x14ac:dyDescent="0.2">
      <c r="A134" s="421"/>
      <c r="B134" s="310" t="s">
        <v>1074</v>
      </c>
      <c r="C134" s="124" t="s">
        <v>823</v>
      </c>
      <c r="D134" s="748"/>
      <c r="E134" s="749"/>
      <c r="F134" s="748"/>
      <c r="G134" s="749"/>
      <c r="H134" s="748"/>
      <c r="I134" s="749"/>
      <c r="J134" s="748"/>
      <c r="K134" s="749"/>
      <c r="L134" s="748"/>
      <c r="M134" s="749"/>
      <c r="N134" s="748"/>
      <c r="O134" s="749"/>
      <c r="P134" s="748"/>
      <c r="Q134" s="749"/>
      <c r="R134" s="748"/>
      <c r="S134" s="749"/>
      <c r="T134" s="69"/>
      <c r="U134" s="70">
        <f>IF(OR(D134="s",F134="s",H134="s",J134="s",L134="s",N134="s",P134="s",R134="s"), 0, IF(OR(D134="a",F134="a",H134="a",J134="a",L134="a",N134="a",P134="a",R134="a"),V134,0))</f>
        <v>0</v>
      </c>
      <c r="V134" s="446">
        <v>10</v>
      </c>
      <c r="W134" s="82">
        <f>COUNTIF(D134:S134,"a")+COUNTIF(D134:S134,"s")</f>
        <v>0</v>
      </c>
      <c r="X134" s="717"/>
      <c r="Z134" s="697"/>
      <c r="AA134" s="698"/>
    </row>
    <row r="135" spans="1:27" ht="27.95" customHeight="1" x14ac:dyDescent="0.2">
      <c r="A135" s="421"/>
      <c r="B135" s="310" t="s">
        <v>824</v>
      </c>
      <c r="C135" s="131" t="s">
        <v>698</v>
      </c>
      <c r="D135" s="742"/>
      <c r="E135" s="743"/>
      <c r="F135" s="742"/>
      <c r="G135" s="743"/>
      <c r="H135" s="742"/>
      <c r="I135" s="743"/>
      <c r="J135" s="742"/>
      <c r="K135" s="743"/>
      <c r="L135" s="742"/>
      <c r="M135" s="743"/>
      <c r="N135" s="742"/>
      <c r="O135" s="743"/>
      <c r="P135" s="742"/>
      <c r="Q135" s="743"/>
      <c r="R135" s="742"/>
      <c r="S135" s="743"/>
      <c r="T135" s="69"/>
      <c r="U135" s="67">
        <f>IF(OR(D135="s",F135="s",H135="s",J135="s",L135="s",N135="s",P135="s",R135="s"), 0, IF(OR(D135="a",F135="a",H135="a",J135="a",L135="a",N135="a",P135="a",R135="a"),V135,0))</f>
        <v>0</v>
      </c>
      <c r="V135" s="451">
        <v>10</v>
      </c>
      <c r="W135" s="82">
        <f>COUNTIF(D135:S135,"a")+COUNTIF(D135:S135,"s")</f>
        <v>0</v>
      </c>
      <c r="X135" s="717"/>
      <c r="Z135" s="697"/>
      <c r="AA135" s="698"/>
    </row>
    <row r="136" spans="1:27" ht="27.95" customHeight="1" x14ac:dyDescent="0.2">
      <c r="A136" s="421"/>
      <c r="B136" s="325" t="s">
        <v>706</v>
      </c>
      <c r="C136" s="260" t="s">
        <v>1083</v>
      </c>
      <c r="D136" s="742"/>
      <c r="E136" s="743"/>
      <c r="F136" s="742"/>
      <c r="G136" s="743"/>
      <c r="H136" s="742"/>
      <c r="I136" s="743"/>
      <c r="J136" s="742"/>
      <c r="K136" s="743"/>
      <c r="L136" s="742"/>
      <c r="M136" s="743"/>
      <c r="N136" s="742"/>
      <c r="O136" s="743"/>
      <c r="P136" s="742"/>
      <c r="Q136" s="743"/>
      <c r="R136" s="742"/>
      <c r="S136" s="743"/>
      <c r="T136" s="69"/>
      <c r="U136" s="67">
        <f>IF(OR(D136="s",F136="s",H136="s",J136="s",L136="s",N136="s",P136="s",R136="s"), 0, IF(OR(D136="a",F136="a",H136="a",J136="a",L136="a",N136="a",P136="a",R136="a"),V136,0))</f>
        <v>0</v>
      </c>
      <c r="V136" s="451">
        <v>20</v>
      </c>
      <c r="W136" s="82">
        <f>COUNTIF(D136:S136,"a")+COUNTIF(D136:S136,"s")</f>
        <v>0</v>
      </c>
      <c r="X136" s="717"/>
      <c r="Z136" s="697" t="s">
        <v>656</v>
      </c>
      <c r="AA136" s="698"/>
    </row>
    <row r="137" spans="1:27" ht="27.75" customHeight="1" thickBot="1" x14ac:dyDescent="0.25">
      <c r="A137" s="421"/>
      <c r="B137" s="319" t="s">
        <v>707</v>
      </c>
      <c r="C137" s="275" t="s">
        <v>708</v>
      </c>
      <c r="D137" s="751"/>
      <c r="E137" s="752"/>
      <c r="F137" s="751"/>
      <c r="G137" s="752"/>
      <c r="H137" s="751"/>
      <c r="I137" s="752"/>
      <c r="J137" s="751"/>
      <c r="K137" s="752"/>
      <c r="L137" s="751"/>
      <c r="M137" s="752"/>
      <c r="N137" s="751"/>
      <c r="O137" s="752"/>
      <c r="P137" s="751"/>
      <c r="Q137" s="752"/>
      <c r="R137" s="751"/>
      <c r="S137" s="752"/>
      <c r="T137" s="69"/>
      <c r="U137" s="68">
        <f>IF(OR(D137="s",F137="s",H137="s",J137="s",L137="s",N137="s",P137="s",R137="s"), 0, IF(OR(D137="a",F137="a",H137="a",J137="a",L137="a",N137="a",P137="a",R137="a"),V137,0))</f>
        <v>0</v>
      </c>
      <c r="V137" s="453">
        <v>10</v>
      </c>
      <c r="W137" s="82">
        <f>COUNTIF(D137:S137,"a")+COUNTIF(D137:S137,"s")</f>
        <v>0</v>
      </c>
      <c r="X137" s="717"/>
      <c r="Z137" s="697" t="s">
        <v>656</v>
      </c>
      <c r="AA137" s="698"/>
    </row>
    <row r="138" spans="1:27" ht="21" customHeight="1" thickTop="1" thickBot="1" x14ac:dyDescent="0.25">
      <c r="A138" s="421"/>
      <c r="B138" s="176"/>
      <c r="C138" s="174"/>
      <c r="D138" s="750" t="s">
        <v>662</v>
      </c>
      <c r="E138" s="779"/>
      <c r="F138" s="779"/>
      <c r="G138" s="779"/>
      <c r="H138" s="779"/>
      <c r="I138" s="779"/>
      <c r="J138" s="779"/>
      <c r="K138" s="779"/>
      <c r="L138" s="779"/>
      <c r="M138" s="779"/>
      <c r="N138" s="779"/>
      <c r="O138" s="779"/>
      <c r="P138" s="779"/>
      <c r="Q138" s="779"/>
      <c r="R138" s="779"/>
      <c r="S138" s="779"/>
      <c r="T138" s="780"/>
      <c r="U138" s="2">
        <f>SUM(U134:U137)</f>
        <v>0</v>
      </c>
      <c r="V138" s="454">
        <f>SUM(V134:V137)</f>
        <v>50</v>
      </c>
      <c r="W138" s="82"/>
      <c r="Z138" s="697"/>
      <c r="AA138" s="698"/>
    </row>
    <row r="139" spans="1:27" ht="21" customHeight="1" thickBot="1" x14ac:dyDescent="0.25">
      <c r="A139" s="189"/>
      <c r="B139" s="637"/>
      <c r="C139" s="638"/>
      <c r="D139" s="945"/>
      <c r="E139" s="741"/>
      <c r="F139" s="768">
        <v>30</v>
      </c>
      <c r="G139" s="746"/>
      <c r="H139" s="746"/>
      <c r="I139" s="746"/>
      <c r="J139" s="746"/>
      <c r="K139" s="746"/>
      <c r="L139" s="746"/>
      <c r="M139" s="746"/>
      <c r="N139" s="746"/>
      <c r="O139" s="746"/>
      <c r="P139" s="746"/>
      <c r="Q139" s="746"/>
      <c r="R139" s="746"/>
      <c r="S139" s="746"/>
      <c r="T139" s="746"/>
      <c r="U139" s="746"/>
      <c r="V139" s="747"/>
      <c r="W139" s="82"/>
      <c r="X139" s="721"/>
      <c r="Z139" s="697"/>
      <c r="AA139" s="698"/>
    </row>
    <row r="140" spans="1:27" ht="33" customHeight="1" thickBot="1" x14ac:dyDescent="0.25">
      <c r="A140" s="531"/>
      <c r="B140" s="345">
        <v>3000</v>
      </c>
      <c r="C140" s="1000" t="s">
        <v>1032</v>
      </c>
      <c r="D140" s="956"/>
      <c r="E140" s="956"/>
      <c r="F140" s="956"/>
      <c r="G140" s="956"/>
      <c r="H140" s="956"/>
      <c r="I140" s="956"/>
      <c r="J140" s="956"/>
      <c r="K140" s="956"/>
      <c r="L140" s="956"/>
      <c r="M140" s="956"/>
      <c r="N140" s="956"/>
      <c r="O140" s="956"/>
      <c r="P140" s="956"/>
      <c r="Q140" s="956"/>
      <c r="R140" s="956"/>
      <c r="S140" s="956"/>
      <c r="T140" s="956"/>
      <c r="U140" s="956"/>
      <c r="V140" s="957"/>
      <c r="W140" s="82"/>
      <c r="Z140" s="697"/>
      <c r="AA140" s="698"/>
    </row>
    <row r="141" spans="1:27" ht="30" customHeight="1" thickBot="1" x14ac:dyDescent="0.25">
      <c r="A141" s="421"/>
      <c r="B141" s="323" t="s">
        <v>964</v>
      </c>
      <c r="C141" s="264" t="s">
        <v>619</v>
      </c>
      <c r="D141" s="27"/>
      <c r="E141" s="29"/>
      <c r="F141" s="30"/>
      <c r="G141" s="37"/>
      <c r="H141" s="26" t="s">
        <v>661</v>
      </c>
      <c r="I141" s="35"/>
      <c r="J141" s="36"/>
      <c r="K141" s="37"/>
      <c r="L141" s="26" t="s">
        <v>661</v>
      </c>
      <c r="M141" s="35"/>
      <c r="N141" s="36" t="s">
        <v>661</v>
      </c>
      <c r="O141" s="37"/>
      <c r="P141" s="26" t="s">
        <v>661</v>
      </c>
      <c r="Q141" s="35"/>
      <c r="R141" s="30"/>
      <c r="S141" s="31"/>
      <c r="T141" s="32"/>
      <c r="U141" s="34"/>
      <c r="V141" s="419"/>
      <c r="W141" s="82"/>
      <c r="Z141" s="697"/>
      <c r="AA141" s="698"/>
    </row>
    <row r="142" spans="1:27" ht="27.95" customHeight="1" x14ac:dyDescent="0.2">
      <c r="A142" s="421" t="s">
        <v>716</v>
      </c>
      <c r="B142" s="311" t="s">
        <v>1033</v>
      </c>
      <c r="C142" s="276" t="s">
        <v>1805</v>
      </c>
      <c r="D142" s="748"/>
      <c r="E142" s="749"/>
      <c r="F142" s="748"/>
      <c r="G142" s="749"/>
      <c r="H142" s="748"/>
      <c r="I142" s="749"/>
      <c r="J142" s="748"/>
      <c r="K142" s="749"/>
      <c r="L142" s="748"/>
      <c r="M142" s="749"/>
      <c r="N142" s="748"/>
      <c r="O142" s="749"/>
      <c r="P142" s="748"/>
      <c r="Q142" s="749"/>
      <c r="R142" s="748"/>
      <c r="S142" s="749"/>
      <c r="T142" s="69"/>
      <c r="U142" s="70">
        <f>IF(OR(D142="s",F142="s",H142="s",J142="s",L142="s",N142="s",P142="s",R142="s"), 0, IF(OR(D142="a",F142="a",H142="a",J142="a",L142="a",N142="a",P142="a",R142="a"),V142,0))</f>
        <v>0</v>
      </c>
      <c r="V142" s="420">
        <v>10</v>
      </c>
      <c r="W142" s="82">
        <f>COUNTIF(D142:S142,"a")+COUNTIF(D142:S142,"s")</f>
        <v>0</v>
      </c>
      <c r="X142" s="720"/>
      <c r="Y142" s="699"/>
      <c r="Z142" s="697" t="s">
        <v>656</v>
      </c>
      <c r="AA142" s="698"/>
    </row>
    <row r="143" spans="1:27" ht="27.95" customHeight="1" x14ac:dyDescent="0.2">
      <c r="A143" s="421"/>
      <c r="B143" s="313" t="s">
        <v>1034</v>
      </c>
      <c r="C143" s="277" t="s">
        <v>16</v>
      </c>
      <c r="D143" s="742"/>
      <c r="E143" s="743"/>
      <c r="F143" s="742"/>
      <c r="G143" s="743"/>
      <c r="H143" s="742"/>
      <c r="I143" s="743"/>
      <c r="J143" s="742"/>
      <c r="K143" s="743"/>
      <c r="L143" s="742"/>
      <c r="M143" s="743"/>
      <c r="N143" s="742"/>
      <c r="O143" s="743"/>
      <c r="P143" s="742"/>
      <c r="Q143" s="743"/>
      <c r="R143" s="742"/>
      <c r="S143" s="743"/>
      <c r="T143" s="69"/>
      <c r="U143" s="67">
        <f>IF(OR(D143="s",F143="s",H143="s",J143="s",L143="s",N143="s",P143="s",R143="s"), 0, IF(OR(D143="a",F143="a",H143="a",J143="a",L143="a",N143="a",P143="a",R143="a"),V143,0))</f>
        <v>0</v>
      </c>
      <c r="V143" s="417">
        <v>10</v>
      </c>
      <c r="W143" s="82">
        <f>COUNTIF(D143:S143,"a")+COUNTIF(D143:S143,"s")</f>
        <v>0</v>
      </c>
      <c r="X143" s="717"/>
      <c r="Z143" s="697" t="s">
        <v>656</v>
      </c>
      <c r="AA143" s="698"/>
    </row>
    <row r="144" spans="1:27" ht="27.95" customHeight="1" x14ac:dyDescent="0.2">
      <c r="A144" s="421"/>
      <c r="B144" s="313" t="s">
        <v>1035</v>
      </c>
      <c r="C144" s="277" t="s">
        <v>749</v>
      </c>
      <c r="D144" s="742"/>
      <c r="E144" s="743"/>
      <c r="F144" s="742"/>
      <c r="G144" s="743"/>
      <c r="H144" s="742"/>
      <c r="I144" s="743"/>
      <c r="J144" s="742"/>
      <c r="K144" s="743"/>
      <c r="L144" s="742"/>
      <c r="M144" s="743"/>
      <c r="N144" s="742"/>
      <c r="O144" s="743"/>
      <c r="P144" s="742"/>
      <c r="Q144" s="743"/>
      <c r="R144" s="742"/>
      <c r="S144" s="743"/>
      <c r="T144" s="69"/>
      <c r="U144" s="67">
        <f>IF(OR(D144="s",F144="s",H144="s",J144="s",L144="s",N144="s",P144="s",R144="s"), 0, IF(OR(D144="a",F144="a",H144="a",J144="a",L144="a",N144="a",P144="a",R144="a"),V144,0))</f>
        <v>0</v>
      </c>
      <c r="V144" s="417">
        <v>10</v>
      </c>
      <c r="W144" s="82">
        <f>COUNTIF(D144:S144,"a")+COUNTIF(D144:S144,"s")</f>
        <v>0</v>
      </c>
      <c r="X144" s="717"/>
      <c r="Z144" s="697" t="s">
        <v>656</v>
      </c>
      <c r="AA144" s="698"/>
    </row>
    <row r="145" spans="1:27" ht="27.95" customHeight="1" x14ac:dyDescent="0.2">
      <c r="A145" s="421"/>
      <c r="B145" s="313" t="s">
        <v>839</v>
      </c>
      <c r="C145" s="278" t="s">
        <v>33</v>
      </c>
      <c r="D145" s="742"/>
      <c r="E145" s="743"/>
      <c r="F145" s="742"/>
      <c r="G145" s="743"/>
      <c r="H145" s="742"/>
      <c r="I145" s="743"/>
      <c r="J145" s="742"/>
      <c r="K145" s="743"/>
      <c r="L145" s="742"/>
      <c r="M145" s="743"/>
      <c r="N145" s="742"/>
      <c r="O145" s="743"/>
      <c r="P145" s="742"/>
      <c r="Q145" s="743"/>
      <c r="R145" s="742"/>
      <c r="S145" s="743"/>
      <c r="T145" s="69"/>
      <c r="U145" s="67">
        <f>IF(OR(D145="s",F145="s",H145="s",J145="s",L145="s",N145="s",P145="s",R145="s"), 0, IF(OR(D145="a",F145="a",H145="a",J145="a",L145="a",N145="a",P145="a",R145="a"),V145,0))</f>
        <v>0</v>
      </c>
      <c r="V145" s="417">
        <v>10</v>
      </c>
      <c r="W145" s="82">
        <f>COUNTIF(D145:S145,"a")+COUNTIF(D145:S145,"s")</f>
        <v>0</v>
      </c>
      <c r="X145" s="717"/>
      <c r="Z145" s="697" t="s">
        <v>656</v>
      </c>
      <c r="AA145" s="698"/>
    </row>
    <row r="146" spans="1:27" ht="45" customHeight="1" thickBot="1" x14ac:dyDescent="0.25">
      <c r="A146" s="421"/>
      <c r="B146" s="313" t="s">
        <v>205</v>
      </c>
      <c r="C146" s="278" t="s">
        <v>433</v>
      </c>
      <c r="D146" s="751"/>
      <c r="E146" s="752"/>
      <c r="F146" s="751"/>
      <c r="G146" s="752"/>
      <c r="H146" s="751"/>
      <c r="I146" s="752"/>
      <c r="J146" s="751"/>
      <c r="K146" s="752"/>
      <c r="L146" s="751"/>
      <c r="M146" s="752"/>
      <c r="N146" s="751"/>
      <c r="O146" s="752"/>
      <c r="P146" s="751"/>
      <c r="Q146" s="752"/>
      <c r="R146" s="751"/>
      <c r="S146" s="752"/>
      <c r="T146" s="69"/>
      <c r="U146" s="68">
        <f>IF(OR(D146="s",F146="s",H146="s",J146="s",L146="s",N146="s",P146="s",R146="s"), 0, IF(OR(D146="a",F146="a",H146="a",J146="a",L146="a",N146="a",P146="a",R146="a"),V146,0))</f>
        <v>0</v>
      </c>
      <c r="V146" s="422">
        <v>10</v>
      </c>
      <c r="W146" s="82">
        <f>COUNTIF(D146:S146,"a")+COUNTIF(D146:S146,"s")</f>
        <v>0</v>
      </c>
      <c r="X146" s="717"/>
      <c r="Z146" s="697" t="s">
        <v>656</v>
      </c>
      <c r="AA146" s="698"/>
    </row>
    <row r="147" spans="1:27" ht="21" customHeight="1" thickTop="1" thickBot="1" x14ac:dyDescent="0.25">
      <c r="A147" s="421"/>
      <c r="B147" s="114"/>
      <c r="C147" s="163"/>
      <c r="D147" s="750" t="s">
        <v>662</v>
      </c>
      <c r="E147" s="779"/>
      <c r="F147" s="779"/>
      <c r="G147" s="779"/>
      <c r="H147" s="779"/>
      <c r="I147" s="779"/>
      <c r="J147" s="779"/>
      <c r="K147" s="779"/>
      <c r="L147" s="779"/>
      <c r="M147" s="779"/>
      <c r="N147" s="779"/>
      <c r="O147" s="779"/>
      <c r="P147" s="779"/>
      <c r="Q147" s="779"/>
      <c r="R147" s="779"/>
      <c r="S147" s="779"/>
      <c r="T147" s="780"/>
      <c r="U147" s="2">
        <f>SUM(U142:U146)</f>
        <v>0</v>
      </c>
      <c r="V147" s="418">
        <f>SUM(V142:V146)</f>
        <v>50</v>
      </c>
      <c r="W147" s="82"/>
      <c r="X147" s="721"/>
      <c r="Z147" s="697"/>
      <c r="AA147" s="698"/>
    </row>
    <row r="148" spans="1:27" ht="21" customHeight="1" thickBot="1" x14ac:dyDescent="0.25">
      <c r="A148" s="411"/>
      <c r="B148" s="245"/>
      <c r="C148" s="460"/>
      <c r="D148" s="945"/>
      <c r="E148" s="741"/>
      <c r="F148" s="769">
        <v>50</v>
      </c>
      <c r="G148" s="746"/>
      <c r="H148" s="746"/>
      <c r="I148" s="746"/>
      <c r="J148" s="746"/>
      <c r="K148" s="746"/>
      <c r="L148" s="746"/>
      <c r="M148" s="746"/>
      <c r="N148" s="746"/>
      <c r="O148" s="746"/>
      <c r="P148" s="746"/>
      <c r="Q148" s="746"/>
      <c r="R148" s="746"/>
      <c r="S148" s="746"/>
      <c r="T148" s="746"/>
      <c r="U148" s="746"/>
      <c r="V148" s="747"/>
      <c r="W148" s="82"/>
      <c r="Z148" s="697"/>
      <c r="AA148" s="698"/>
    </row>
    <row r="149" spans="1:27" ht="30" customHeight="1" thickBot="1" x14ac:dyDescent="0.25">
      <c r="A149" s="408"/>
      <c r="B149" s="333" t="s">
        <v>1658</v>
      </c>
      <c r="C149" s="251" t="s">
        <v>1659</v>
      </c>
      <c r="D149" s="550"/>
      <c r="E149" s="99"/>
      <c r="F149" s="550"/>
      <c r="G149" s="99"/>
      <c r="H149" s="550"/>
      <c r="I149" s="549"/>
      <c r="J149" s="249"/>
      <c r="K149" s="99"/>
      <c r="L149" s="550"/>
      <c r="M149" s="549"/>
      <c r="N149" s="550"/>
      <c r="O149" s="549"/>
      <c r="P149" s="550"/>
      <c r="Q149" s="549"/>
      <c r="R149" s="550"/>
      <c r="S149" s="549"/>
      <c r="T149" s="390"/>
      <c r="U149" s="374"/>
      <c r="V149" s="414"/>
      <c r="W149" s="82"/>
      <c r="Z149" s="697"/>
      <c r="AA149" s="698"/>
    </row>
    <row r="150" spans="1:27" ht="45" customHeight="1" x14ac:dyDescent="0.2">
      <c r="A150" s="518"/>
      <c r="B150" s="519" t="s">
        <v>1660</v>
      </c>
      <c r="C150" s="516" t="s">
        <v>1666</v>
      </c>
      <c r="D150" s="748"/>
      <c r="E150" s="749"/>
      <c r="F150" s="748"/>
      <c r="G150" s="749"/>
      <c r="H150" s="748"/>
      <c r="I150" s="749"/>
      <c r="J150" s="748"/>
      <c r="K150" s="749"/>
      <c r="L150" s="748"/>
      <c r="M150" s="749"/>
      <c r="N150" s="748"/>
      <c r="O150" s="749"/>
      <c r="P150" s="748"/>
      <c r="Q150" s="749"/>
      <c r="R150" s="748"/>
      <c r="S150" s="749"/>
      <c r="T150" s="112"/>
      <c r="U150" s="70">
        <f>IF(OR(D150="s",F150="s",H150="s",J150="s",L150="s",N150="s",P150="s",R150="s"), 0, IF(OR(D150="a",F150="a",H150="a",J150="a",L150="a",N150="a",P150="a",R150="a"),V150,0))</f>
        <v>0</v>
      </c>
      <c r="V150" s="420">
        <f>IF(T150="na",0,10)</f>
        <v>10</v>
      </c>
      <c r="W150" s="82">
        <f t="shared" ref="W150:W155" si="30">COUNTIF(D150:S150,"a")+COUNTIF(D150:S150,"s")+COUNTIF(T150,"na")</f>
        <v>0</v>
      </c>
      <c r="X150" s="717"/>
      <c r="Z150" s="697" t="s">
        <v>656</v>
      </c>
      <c r="AA150" s="698"/>
    </row>
    <row r="151" spans="1:27" ht="45" customHeight="1" x14ac:dyDescent="0.2">
      <c r="A151" s="518"/>
      <c r="B151" s="520" t="s">
        <v>1661</v>
      </c>
      <c r="C151" s="522" t="s">
        <v>1667</v>
      </c>
      <c r="D151" s="742"/>
      <c r="E151" s="743"/>
      <c r="F151" s="742"/>
      <c r="G151" s="743"/>
      <c r="H151" s="742"/>
      <c r="I151" s="743"/>
      <c r="J151" s="742"/>
      <c r="K151" s="743"/>
      <c r="L151" s="742"/>
      <c r="M151" s="743"/>
      <c r="N151" s="742"/>
      <c r="O151" s="743"/>
      <c r="P151" s="742"/>
      <c r="Q151" s="743"/>
      <c r="R151" s="742"/>
      <c r="S151" s="743"/>
      <c r="T151" s="113" t="str">
        <f>IF(T150="na", "na", "")</f>
        <v/>
      </c>
      <c r="U151" s="67">
        <f t="shared" ref="U151:U155" si="31">IF(OR(D151="s",F151="s",H151="s",J151="s",L151="s",N151="s",P151="s",R151="s"), 0, IF(OR(D151="a",F151="a",H151="a",J151="a",L151="a",N151="a",P151="a",R151="a"),V151,0))</f>
        <v>0</v>
      </c>
      <c r="V151" s="417">
        <f>IF(T151="na",0,10)</f>
        <v>10</v>
      </c>
      <c r="W151" s="82">
        <f t="shared" si="30"/>
        <v>0</v>
      </c>
      <c r="X151" s="717"/>
      <c r="Z151" s="697" t="s">
        <v>656</v>
      </c>
      <c r="AA151" s="698"/>
    </row>
    <row r="152" spans="1:27" ht="45" customHeight="1" x14ac:dyDescent="0.2">
      <c r="A152" s="518"/>
      <c r="B152" s="520" t="s">
        <v>1662</v>
      </c>
      <c r="C152" s="525" t="s">
        <v>1668</v>
      </c>
      <c r="D152" s="742"/>
      <c r="E152" s="743"/>
      <c r="F152" s="742"/>
      <c r="G152" s="743"/>
      <c r="H152" s="742"/>
      <c r="I152" s="743"/>
      <c r="J152" s="742"/>
      <c r="K152" s="743"/>
      <c r="L152" s="742"/>
      <c r="M152" s="743"/>
      <c r="N152" s="742"/>
      <c r="O152" s="743"/>
      <c r="P152" s="742"/>
      <c r="Q152" s="743"/>
      <c r="R152" s="742"/>
      <c r="S152" s="743"/>
      <c r="T152" s="113" t="str">
        <f>IF(T150="na", "na", "")</f>
        <v/>
      </c>
      <c r="U152" s="67">
        <f t="shared" si="31"/>
        <v>0</v>
      </c>
      <c r="V152" s="417">
        <f>IF(T152="na",0,10)</f>
        <v>10</v>
      </c>
      <c r="W152" s="82">
        <f t="shared" si="30"/>
        <v>0</v>
      </c>
      <c r="X152" s="717"/>
      <c r="Z152" s="697"/>
      <c r="AA152" s="698"/>
    </row>
    <row r="153" spans="1:27" ht="45" customHeight="1" x14ac:dyDescent="0.2">
      <c r="A153" s="518"/>
      <c r="B153" s="520" t="s">
        <v>1663</v>
      </c>
      <c r="C153" s="522" t="s">
        <v>1754</v>
      </c>
      <c r="D153" s="742"/>
      <c r="E153" s="743"/>
      <c r="F153" s="742"/>
      <c r="G153" s="743"/>
      <c r="H153" s="742"/>
      <c r="I153" s="743"/>
      <c r="J153" s="742"/>
      <c r="K153" s="743"/>
      <c r="L153" s="742"/>
      <c r="M153" s="743"/>
      <c r="N153" s="742"/>
      <c r="O153" s="743"/>
      <c r="P153" s="742"/>
      <c r="Q153" s="743"/>
      <c r="R153" s="742"/>
      <c r="S153" s="743"/>
      <c r="T153" s="113" t="str">
        <f>IF(T150="na", "na", "")</f>
        <v/>
      </c>
      <c r="U153" s="67">
        <f t="shared" si="31"/>
        <v>0</v>
      </c>
      <c r="V153" s="417">
        <f>IF(T153="na",0,5)</f>
        <v>5</v>
      </c>
      <c r="W153" s="82">
        <f t="shared" si="30"/>
        <v>0</v>
      </c>
      <c r="X153" s="717"/>
      <c r="Z153" s="697" t="s">
        <v>656</v>
      </c>
      <c r="AA153" s="698"/>
    </row>
    <row r="154" spans="1:27" ht="27.95" customHeight="1" x14ac:dyDescent="0.2">
      <c r="A154" s="518"/>
      <c r="B154" s="520" t="s">
        <v>1664</v>
      </c>
      <c r="C154" s="522" t="s">
        <v>1669</v>
      </c>
      <c r="D154" s="742"/>
      <c r="E154" s="743"/>
      <c r="F154" s="742"/>
      <c r="G154" s="743"/>
      <c r="H154" s="742"/>
      <c r="I154" s="743"/>
      <c r="J154" s="742"/>
      <c r="K154" s="743"/>
      <c r="L154" s="742"/>
      <c r="M154" s="743"/>
      <c r="N154" s="742"/>
      <c r="O154" s="743"/>
      <c r="P154" s="742"/>
      <c r="Q154" s="743"/>
      <c r="R154" s="742"/>
      <c r="S154" s="743"/>
      <c r="T154" s="113" t="str">
        <f>IF(T150="na", "na", "")</f>
        <v/>
      </c>
      <c r="U154" s="67">
        <f t="shared" si="31"/>
        <v>0</v>
      </c>
      <c r="V154" s="417">
        <f>IF(T154="na",0,5)</f>
        <v>5</v>
      </c>
      <c r="W154" s="82">
        <f t="shared" si="30"/>
        <v>0</v>
      </c>
      <c r="X154" s="717"/>
      <c r="Z154" s="697"/>
      <c r="AA154" s="698"/>
    </row>
    <row r="155" spans="1:27" ht="27.95" customHeight="1" thickBot="1" x14ac:dyDescent="0.25">
      <c r="A155" s="518"/>
      <c r="B155" s="520" t="s">
        <v>1665</v>
      </c>
      <c r="C155" s="522" t="s">
        <v>1670</v>
      </c>
      <c r="D155" s="742"/>
      <c r="E155" s="743"/>
      <c r="F155" s="742"/>
      <c r="G155" s="743"/>
      <c r="H155" s="742"/>
      <c r="I155" s="743"/>
      <c r="J155" s="742"/>
      <c r="K155" s="743"/>
      <c r="L155" s="742"/>
      <c r="M155" s="743"/>
      <c r="N155" s="742"/>
      <c r="O155" s="743"/>
      <c r="P155" s="742"/>
      <c r="Q155" s="743"/>
      <c r="R155" s="742"/>
      <c r="S155" s="743"/>
      <c r="T155" s="113" t="str">
        <f>IF(T150="na", "na", "")</f>
        <v/>
      </c>
      <c r="U155" s="67">
        <f t="shared" si="31"/>
        <v>0</v>
      </c>
      <c r="V155" s="417">
        <f>IF(T155="na",0,10)</f>
        <v>10</v>
      </c>
      <c r="W155" s="82">
        <f t="shared" si="30"/>
        <v>0</v>
      </c>
      <c r="X155" s="717"/>
      <c r="Z155" s="697"/>
      <c r="AA155" s="698"/>
    </row>
    <row r="156" spans="1:27" ht="21" customHeight="1" thickTop="1" thickBot="1" x14ac:dyDescent="0.25">
      <c r="A156" s="421"/>
      <c r="B156" s="80"/>
      <c r="C156" s="171"/>
      <c r="D156" s="750" t="s">
        <v>662</v>
      </c>
      <c r="E156" s="779"/>
      <c r="F156" s="779"/>
      <c r="G156" s="779"/>
      <c r="H156" s="779"/>
      <c r="I156" s="779"/>
      <c r="J156" s="779"/>
      <c r="K156" s="779"/>
      <c r="L156" s="779"/>
      <c r="M156" s="779"/>
      <c r="N156" s="779"/>
      <c r="O156" s="779"/>
      <c r="P156" s="779"/>
      <c r="Q156" s="779"/>
      <c r="R156" s="779"/>
      <c r="S156" s="779"/>
      <c r="T156" s="780"/>
      <c r="U156" s="2">
        <f>SUM(U150:U155)</f>
        <v>0</v>
      </c>
      <c r="V156" s="418">
        <f>SUM(V150:V155)</f>
        <v>50</v>
      </c>
      <c r="W156" s="82"/>
      <c r="X156" s="721"/>
      <c r="Z156" s="697"/>
      <c r="AA156" s="698"/>
    </row>
    <row r="157" spans="1:27" ht="21" customHeight="1" thickBot="1" x14ac:dyDescent="0.25">
      <c r="A157" s="411"/>
      <c r="B157" s="391"/>
      <c r="C157" s="380"/>
      <c r="D157" s="945"/>
      <c r="E157" s="741"/>
      <c r="F157" s="858">
        <f>IF(T150="na",0,25)</f>
        <v>25</v>
      </c>
      <c r="G157" s="859"/>
      <c r="H157" s="859"/>
      <c r="I157" s="859"/>
      <c r="J157" s="859"/>
      <c r="K157" s="859"/>
      <c r="L157" s="859"/>
      <c r="M157" s="859"/>
      <c r="N157" s="859"/>
      <c r="O157" s="859"/>
      <c r="P157" s="859"/>
      <c r="Q157" s="859"/>
      <c r="R157" s="859"/>
      <c r="S157" s="859"/>
      <c r="T157" s="859"/>
      <c r="U157" s="859"/>
      <c r="V157" s="860"/>
      <c r="W157" s="82"/>
      <c r="Z157" s="697"/>
      <c r="AA157" s="698"/>
    </row>
    <row r="158" spans="1:27" ht="30" customHeight="1" thickBot="1" x14ac:dyDescent="0.25">
      <c r="A158" s="408"/>
      <c r="B158" s="314" t="s">
        <v>965</v>
      </c>
      <c r="C158" s="254" t="s">
        <v>1678</v>
      </c>
      <c r="D158" s="257"/>
      <c r="E158" s="255"/>
      <c r="F158" s="258"/>
      <c r="G158" s="256"/>
      <c r="H158" s="257"/>
      <c r="I158" s="255"/>
      <c r="J158" s="379"/>
      <c r="K158" s="256"/>
      <c r="L158" s="550"/>
      <c r="M158" s="255"/>
      <c r="N158" s="258"/>
      <c r="O158" s="256"/>
      <c r="P158" s="257"/>
      <c r="Q158" s="255"/>
      <c r="R158" s="258"/>
      <c r="S158" s="256"/>
      <c r="T158" s="390"/>
      <c r="U158" s="374"/>
      <c r="V158" s="414"/>
      <c r="W158" s="82"/>
      <c r="Z158" s="697"/>
      <c r="AA158" s="698"/>
    </row>
    <row r="159" spans="1:27" ht="27.95" customHeight="1" x14ac:dyDescent="0.2">
      <c r="A159" s="562"/>
      <c r="B159" s="319"/>
      <c r="C159" s="661" t="s">
        <v>1691</v>
      </c>
      <c r="D159" s="947"/>
      <c r="E159" s="948"/>
      <c r="F159" s="948"/>
      <c r="G159" s="948"/>
      <c r="H159" s="948"/>
      <c r="I159" s="948"/>
      <c r="J159" s="948"/>
      <c r="K159" s="948"/>
      <c r="L159" s="948"/>
      <c r="M159" s="948"/>
      <c r="N159" s="948"/>
      <c r="O159" s="948"/>
      <c r="P159" s="948"/>
      <c r="Q159" s="948"/>
      <c r="R159" s="948"/>
      <c r="S159" s="948"/>
      <c r="T159" s="948"/>
      <c r="U159" s="948"/>
      <c r="V159" s="949"/>
      <c r="W159" s="82"/>
      <c r="Z159" s="697"/>
      <c r="AA159" s="698"/>
    </row>
    <row r="160" spans="1:27" ht="27.95" customHeight="1" x14ac:dyDescent="0.2">
      <c r="A160" s="562"/>
      <c r="B160" s="319"/>
      <c r="C160" s="661" t="s">
        <v>1687</v>
      </c>
      <c r="D160" s="947"/>
      <c r="E160" s="948"/>
      <c r="F160" s="948"/>
      <c r="G160" s="948"/>
      <c r="H160" s="948"/>
      <c r="I160" s="948"/>
      <c r="J160" s="948"/>
      <c r="K160" s="948"/>
      <c r="L160" s="948"/>
      <c r="M160" s="948"/>
      <c r="N160" s="948"/>
      <c r="O160" s="948"/>
      <c r="P160" s="948"/>
      <c r="Q160" s="948"/>
      <c r="R160" s="948"/>
      <c r="S160" s="948"/>
      <c r="T160" s="948"/>
      <c r="U160" s="948"/>
      <c r="V160" s="949"/>
      <c r="W160" s="82"/>
      <c r="Z160" s="697"/>
      <c r="AA160" s="698"/>
    </row>
    <row r="161" spans="1:27" ht="45" customHeight="1" x14ac:dyDescent="0.2">
      <c r="A161" s="421"/>
      <c r="B161" s="311" t="s">
        <v>284</v>
      </c>
      <c r="C161" s="279" t="s">
        <v>1692</v>
      </c>
      <c r="D161" s="742"/>
      <c r="E161" s="743"/>
      <c r="F161" s="742"/>
      <c r="G161" s="743"/>
      <c r="H161" s="742"/>
      <c r="I161" s="743"/>
      <c r="J161" s="742"/>
      <c r="K161" s="743"/>
      <c r="L161" s="742"/>
      <c r="M161" s="743"/>
      <c r="N161" s="742"/>
      <c r="O161" s="743"/>
      <c r="P161" s="742"/>
      <c r="Q161" s="743"/>
      <c r="R161" s="742"/>
      <c r="S161" s="743"/>
      <c r="T161" s="69"/>
      <c r="U161" s="67">
        <f t="shared" ref="U161:U170" si="32">IF(OR(D161="s",F161="s",H161="s",J161="s",L161="s",N161="s",P161="s",R161="s"), 0, IF(OR(D161="a",F161="a",H161="a",J161="a",L161="a",N161="a",P161="a",R161="a"),V161,0))</f>
        <v>0</v>
      </c>
      <c r="V161" s="420">
        <v>10</v>
      </c>
      <c r="W161" s="82">
        <f t="shared" ref="W161:W170" si="33">COUNTIF(D161:S161,"a")+COUNTIF(D161:S161,"s")</f>
        <v>0</v>
      </c>
      <c r="X161" s="717"/>
      <c r="Z161" s="697"/>
      <c r="AA161" s="698"/>
    </row>
    <row r="162" spans="1:27" ht="27.95" customHeight="1" x14ac:dyDescent="0.2">
      <c r="A162" s="562"/>
      <c r="B162" s="319"/>
      <c r="C162" s="661" t="s">
        <v>1686</v>
      </c>
      <c r="D162" s="947"/>
      <c r="E162" s="948"/>
      <c r="F162" s="948"/>
      <c r="G162" s="948"/>
      <c r="H162" s="948"/>
      <c r="I162" s="948"/>
      <c r="J162" s="948"/>
      <c r="K162" s="948"/>
      <c r="L162" s="948"/>
      <c r="M162" s="948"/>
      <c r="N162" s="948"/>
      <c r="O162" s="948"/>
      <c r="P162" s="948"/>
      <c r="Q162" s="948"/>
      <c r="R162" s="948"/>
      <c r="S162" s="948"/>
      <c r="T162" s="948"/>
      <c r="U162" s="948"/>
      <c r="V162" s="949"/>
      <c r="W162" s="82"/>
      <c r="Z162" s="697"/>
      <c r="AA162" s="698"/>
    </row>
    <row r="163" spans="1:27" ht="106.5" customHeight="1" x14ac:dyDescent="0.2">
      <c r="A163" s="421"/>
      <c r="B163" s="311" t="s">
        <v>1685</v>
      </c>
      <c r="C163" s="279" t="s">
        <v>1751</v>
      </c>
      <c r="D163" s="742"/>
      <c r="E163" s="743"/>
      <c r="F163" s="742"/>
      <c r="G163" s="743"/>
      <c r="H163" s="742"/>
      <c r="I163" s="743"/>
      <c r="J163" s="742"/>
      <c r="K163" s="743"/>
      <c r="L163" s="742"/>
      <c r="M163" s="743"/>
      <c r="N163" s="742"/>
      <c r="O163" s="743"/>
      <c r="P163" s="742"/>
      <c r="Q163" s="743"/>
      <c r="R163" s="742"/>
      <c r="S163" s="743"/>
      <c r="T163" s="69"/>
      <c r="U163" s="67">
        <f t="shared" si="32"/>
        <v>0</v>
      </c>
      <c r="V163" s="420">
        <v>10</v>
      </c>
      <c r="W163" s="82">
        <f t="shared" si="33"/>
        <v>0</v>
      </c>
      <c r="X163" s="717"/>
      <c r="Z163" s="697"/>
      <c r="AA163" s="698"/>
    </row>
    <row r="164" spans="1:27" ht="27.95" customHeight="1" x14ac:dyDescent="0.2">
      <c r="A164" s="562"/>
      <c r="B164" s="319"/>
      <c r="C164" s="661" t="s">
        <v>1684</v>
      </c>
      <c r="D164" s="947"/>
      <c r="E164" s="948"/>
      <c r="F164" s="948"/>
      <c r="G164" s="948"/>
      <c r="H164" s="948"/>
      <c r="I164" s="948"/>
      <c r="J164" s="948"/>
      <c r="K164" s="948"/>
      <c r="L164" s="948"/>
      <c r="M164" s="948"/>
      <c r="N164" s="948"/>
      <c r="O164" s="948"/>
      <c r="P164" s="948"/>
      <c r="Q164" s="948"/>
      <c r="R164" s="948"/>
      <c r="S164" s="948"/>
      <c r="T164" s="948"/>
      <c r="U164" s="948"/>
      <c r="V164" s="949"/>
      <c r="W164" s="82"/>
      <c r="Z164" s="697"/>
      <c r="AA164" s="698"/>
    </row>
    <row r="165" spans="1:27" ht="45" customHeight="1" x14ac:dyDescent="0.2">
      <c r="A165" s="421"/>
      <c r="B165" s="311" t="s">
        <v>840</v>
      </c>
      <c r="C165" s="279" t="s">
        <v>1690</v>
      </c>
      <c r="D165" s="742"/>
      <c r="E165" s="743"/>
      <c r="F165" s="742"/>
      <c r="G165" s="743"/>
      <c r="H165" s="742"/>
      <c r="I165" s="743"/>
      <c r="J165" s="742"/>
      <c r="K165" s="743"/>
      <c r="L165" s="742"/>
      <c r="M165" s="743"/>
      <c r="N165" s="742"/>
      <c r="O165" s="743"/>
      <c r="P165" s="742"/>
      <c r="Q165" s="743"/>
      <c r="R165" s="742"/>
      <c r="S165" s="743"/>
      <c r="T165" s="69"/>
      <c r="U165" s="67">
        <f t="shared" si="32"/>
        <v>0</v>
      </c>
      <c r="V165" s="420">
        <v>40</v>
      </c>
      <c r="W165" s="82">
        <f t="shared" si="33"/>
        <v>0</v>
      </c>
      <c r="X165" s="717"/>
      <c r="Y165" s="701"/>
      <c r="Z165" s="697" t="s">
        <v>656</v>
      </c>
      <c r="AA165" s="698"/>
    </row>
    <row r="166" spans="1:27" ht="27.95" customHeight="1" x14ac:dyDescent="0.2">
      <c r="A166" s="562"/>
      <c r="B166" s="319"/>
      <c r="C166" s="661" t="s">
        <v>1683</v>
      </c>
      <c r="D166" s="947"/>
      <c r="E166" s="948"/>
      <c r="F166" s="948"/>
      <c r="G166" s="948"/>
      <c r="H166" s="948"/>
      <c r="I166" s="948"/>
      <c r="J166" s="948"/>
      <c r="K166" s="948"/>
      <c r="L166" s="948"/>
      <c r="M166" s="948"/>
      <c r="N166" s="948"/>
      <c r="O166" s="948"/>
      <c r="P166" s="948"/>
      <c r="Q166" s="948"/>
      <c r="R166" s="948"/>
      <c r="S166" s="948"/>
      <c r="T166" s="948"/>
      <c r="U166" s="948"/>
      <c r="V166" s="949"/>
      <c r="W166" s="82"/>
      <c r="Z166" s="697"/>
      <c r="AA166" s="698"/>
    </row>
    <row r="167" spans="1:27" ht="27.95" customHeight="1" x14ac:dyDescent="0.2">
      <c r="A167" s="421"/>
      <c r="B167" s="311" t="s">
        <v>1682</v>
      </c>
      <c r="C167" s="279" t="s">
        <v>1752</v>
      </c>
      <c r="D167" s="742"/>
      <c r="E167" s="743"/>
      <c r="F167" s="742"/>
      <c r="G167" s="743"/>
      <c r="H167" s="742"/>
      <c r="I167" s="743"/>
      <c r="J167" s="742"/>
      <c r="K167" s="743"/>
      <c r="L167" s="742"/>
      <c r="M167" s="743"/>
      <c r="N167" s="742"/>
      <c r="O167" s="743"/>
      <c r="P167" s="742"/>
      <c r="Q167" s="743"/>
      <c r="R167" s="742"/>
      <c r="S167" s="743"/>
      <c r="T167" s="69"/>
      <c r="U167" s="67">
        <f t="shared" si="32"/>
        <v>0</v>
      </c>
      <c r="V167" s="420">
        <v>10</v>
      </c>
      <c r="W167" s="82">
        <f t="shared" si="33"/>
        <v>0</v>
      </c>
      <c r="X167" s="717"/>
      <c r="Z167" s="697"/>
      <c r="AA167" s="698"/>
    </row>
    <row r="168" spans="1:27" ht="67.7" customHeight="1" x14ac:dyDescent="0.2">
      <c r="A168" s="421"/>
      <c r="B168" s="311" t="s">
        <v>1681</v>
      </c>
      <c r="C168" s="279" t="s">
        <v>1689</v>
      </c>
      <c r="D168" s="742"/>
      <c r="E168" s="743"/>
      <c r="F168" s="742"/>
      <c r="G168" s="743"/>
      <c r="H168" s="742"/>
      <c r="I168" s="743"/>
      <c r="J168" s="742"/>
      <c r="K168" s="743"/>
      <c r="L168" s="742"/>
      <c r="M168" s="743"/>
      <c r="N168" s="742"/>
      <c r="O168" s="743"/>
      <c r="P168" s="742"/>
      <c r="Q168" s="743"/>
      <c r="R168" s="742"/>
      <c r="S168" s="743"/>
      <c r="T168" s="69"/>
      <c r="U168" s="67">
        <f t="shared" si="32"/>
        <v>0</v>
      </c>
      <c r="V168" s="420">
        <v>5</v>
      </c>
      <c r="W168" s="82">
        <f t="shared" si="33"/>
        <v>0</v>
      </c>
      <c r="X168" s="717"/>
      <c r="Z168" s="697"/>
      <c r="AA168" s="698"/>
    </row>
    <row r="169" spans="1:27" ht="27.95" customHeight="1" x14ac:dyDescent="0.2">
      <c r="A169" s="562"/>
      <c r="B169" s="319"/>
      <c r="C169" s="661" t="s">
        <v>1680</v>
      </c>
      <c r="D169" s="947"/>
      <c r="E169" s="948"/>
      <c r="F169" s="948"/>
      <c r="G169" s="948"/>
      <c r="H169" s="948"/>
      <c r="I169" s="948"/>
      <c r="J169" s="948"/>
      <c r="K169" s="948"/>
      <c r="L169" s="948"/>
      <c r="M169" s="948"/>
      <c r="N169" s="948"/>
      <c r="O169" s="948"/>
      <c r="P169" s="948"/>
      <c r="Q169" s="948"/>
      <c r="R169" s="948"/>
      <c r="S169" s="948"/>
      <c r="T169" s="948"/>
      <c r="U169" s="948"/>
      <c r="V169" s="949"/>
      <c r="W169" s="82"/>
      <c r="Z169" s="697"/>
      <c r="AA169" s="698"/>
    </row>
    <row r="170" spans="1:27" ht="45" customHeight="1" thickBot="1" x14ac:dyDescent="0.25">
      <c r="A170" s="421"/>
      <c r="B170" s="311" t="s">
        <v>1679</v>
      </c>
      <c r="C170" s="279" t="s">
        <v>1688</v>
      </c>
      <c r="D170" s="742"/>
      <c r="E170" s="743"/>
      <c r="F170" s="742"/>
      <c r="G170" s="743"/>
      <c r="H170" s="742"/>
      <c r="I170" s="743"/>
      <c r="J170" s="742"/>
      <c r="K170" s="743"/>
      <c r="L170" s="742"/>
      <c r="M170" s="743"/>
      <c r="N170" s="742"/>
      <c r="O170" s="743"/>
      <c r="P170" s="742"/>
      <c r="Q170" s="743"/>
      <c r="R170" s="742"/>
      <c r="S170" s="743"/>
      <c r="T170" s="69"/>
      <c r="U170" s="68">
        <f t="shared" si="32"/>
        <v>0</v>
      </c>
      <c r="V170" s="420">
        <v>5</v>
      </c>
      <c r="W170" s="82">
        <f t="shared" si="33"/>
        <v>0</v>
      </c>
      <c r="X170" s="717"/>
      <c r="Z170" s="697"/>
      <c r="AA170" s="698"/>
    </row>
    <row r="171" spans="1:27" ht="21" customHeight="1" thickTop="1" thickBot="1" x14ac:dyDescent="0.25">
      <c r="A171" s="421"/>
      <c r="B171" s="114"/>
      <c r="C171" s="163"/>
      <c r="D171" s="750" t="s">
        <v>662</v>
      </c>
      <c r="E171" s="779"/>
      <c r="F171" s="779"/>
      <c r="G171" s="779"/>
      <c r="H171" s="779"/>
      <c r="I171" s="779"/>
      <c r="J171" s="779"/>
      <c r="K171" s="779"/>
      <c r="L171" s="779"/>
      <c r="M171" s="779"/>
      <c r="N171" s="779"/>
      <c r="O171" s="779"/>
      <c r="P171" s="779"/>
      <c r="Q171" s="779"/>
      <c r="R171" s="779"/>
      <c r="S171" s="779"/>
      <c r="T171" s="780"/>
      <c r="U171" s="2">
        <f>SUM(U159:U170)</f>
        <v>0</v>
      </c>
      <c r="V171" s="418">
        <f>SUM(V159:V170)</f>
        <v>80</v>
      </c>
      <c r="W171" s="82"/>
      <c r="Z171" s="697"/>
      <c r="AA171" s="698"/>
    </row>
    <row r="172" spans="1:27" ht="21" customHeight="1" thickBot="1" x14ac:dyDescent="0.25">
      <c r="A172" s="411"/>
      <c r="B172" s="245"/>
      <c r="C172" s="460"/>
      <c r="D172" s="945"/>
      <c r="E172" s="741"/>
      <c r="F172" s="861">
        <v>40</v>
      </c>
      <c r="G172" s="746"/>
      <c r="H172" s="746"/>
      <c r="I172" s="746"/>
      <c r="J172" s="746"/>
      <c r="K172" s="746"/>
      <c r="L172" s="746"/>
      <c r="M172" s="746"/>
      <c r="N172" s="746"/>
      <c r="O172" s="746"/>
      <c r="P172" s="746"/>
      <c r="Q172" s="746"/>
      <c r="R172" s="746"/>
      <c r="S172" s="746"/>
      <c r="T172" s="746"/>
      <c r="U172" s="746"/>
      <c r="V172" s="747"/>
      <c r="W172" s="82"/>
      <c r="Z172" s="697"/>
      <c r="AA172" s="698"/>
    </row>
    <row r="173" spans="1:27" ht="33" customHeight="1" thickBot="1" x14ac:dyDescent="0.25">
      <c r="A173" s="408"/>
      <c r="B173" s="345">
        <v>4000</v>
      </c>
      <c r="C173" s="1000" t="s">
        <v>841</v>
      </c>
      <c r="D173" s="956"/>
      <c r="E173" s="956"/>
      <c r="F173" s="956"/>
      <c r="G173" s="956"/>
      <c r="H173" s="956"/>
      <c r="I173" s="956"/>
      <c r="J173" s="956"/>
      <c r="K173" s="956"/>
      <c r="L173" s="956"/>
      <c r="M173" s="956"/>
      <c r="N173" s="956"/>
      <c r="O173" s="956"/>
      <c r="P173" s="956"/>
      <c r="Q173" s="956"/>
      <c r="R173" s="956"/>
      <c r="S173" s="956"/>
      <c r="T173" s="956"/>
      <c r="U173" s="956"/>
      <c r="V173" s="957"/>
      <c r="W173" s="82"/>
      <c r="Z173" s="697"/>
      <c r="AA173" s="698"/>
    </row>
    <row r="174" spans="1:27" ht="30" customHeight="1" thickBot="1" x14ac:dyDescent="0.25">
      <c r="A174" s="421"/>
      <c r="B174" s="312">
        <v>4100</v>
      </c>
      <c r="C174" s="264" t="s">
        <v>620</v>
      </c>
      <c r="D174" s="26" t="s">
        <v>661</v>
      </c>
      <c r="E174" s="35"/>
      <c r="F174" s="36" t="s">
        <v>661</v>
      </c>
      <c r="G174" s="37"/>
      <c r="H174" s="26"/>
      <c r="I174" s="35"/>
      <c r="J174" s="30"/>
      <c r="K174" s="31"/>
      <c r="L174" s="27"/>
      <c r="M174" s="29"/>
      <c r="N174" s="30"/>
      <c r="O174" s="31"/>
      <c r="P174" s="27"/>
      <c r="Q174" s="29"/>
      <c r="R174" s="30"/>
      <c r="S174" s="31"/>
      <c r="T174" s="32"/>
      <c r="U174" s="33"/>
      <c r="V174" s="419"/>
      <c r="W174" s="82"/>
      <c r="Z174" s="697"/>
      <c r="AA174" s="698"/>
    </row>
    <row r="175" spans="1:27" ht="27.95" customHeight="1" x14ac:dyDescent="0.2">
      <c r="A175" s="421"/>
      <c r="B175" s="310" t="s">
        <v>842</v>
      </c>
      <c r="C175" s="124" t="s">
        <v>146</v>
      </c>
      <c r="D175" s="748"/>
      <c r="E175" s="749"/>
      <c r="F175" s="748"/>
      <c r="G175" s="749"/>
      <c r="H175" s="748"/>
      <c r="I175" s="749"/>
      <c r="J175" s="748"/>
      <c r="K175" s="749"/>
      <c r="L175" s="748"/>
      <c r="M175" s="749"/>
      <c r="N175" s="748"/>
      <c r="O175" s="749"/>
      <c r="P175" s="748"/>
      <c r="Q175" s="749"/>
      <c r="R175" s="748"/>
      <c r="S175" s="749"/>
      <c r="T175" s="69"/>
      <c r="U175" s="70">
        <f>IF(OR(D175="s",F175="s",H175="s",J175="s",L175="s",N175="s",P175="s",R175="s"), 0, IF(OR(D175="a",F175="a",H175="a",J175="a",L175="a",N175="a",P175="a",R175="a"),V175,0))</f>
        <v>0</v>
      </c>
      <c r="V175" s="420">
        <v>10</v>
      </c>
      <c r="W175" s="82">
        <f t="shared" ref="W175:W181" si="34">COUNTIF(D175:S175,"a")+COUNTIF(D175:S175,"s")</f>
        <v>0</v>
      </c>
      <c r="X175" s="717"/>
      <c r="Z175" s="697" t="s">
        <v>656</v>
      </c>
      <c r="AA175" s="698"/>
    </row>
    <row r="176" spans="1:27" ht="27.95" customHeight="1" x14ac:dyDescent="0.2">
      <c r="A176" s="421"/>
      <c r="B176" s="319" t="s">
        <v>717</v>
      </c>
      <c r="C176" s="131" t="s">
        <v>402</v>
      </c>
      <c r="D176" s="742"/>
      <c r="E176" s="743"/>
      <c r="F176" s="742"/>
      <c r="G176" s="743"/>
      <c r="H176" s="742"/>
      <c r="I176" s="743"/>
      <c r="J176" s="742"/>
      <c r="K176" s="743"/>
      <c r="L176" s="742"/>
      <c r="M176" s="743"/>
      <c r="N176" s="742"/>
      <c r="O176" s="743"/>
      <c r="P176" s="742"/>
      <c r="Q176" s="743"/>
      <c r="R176" s="742"/>
      <c r="S176" s="743"/>
      <c r="T176" s="69"/>
      <c r="U176" s="67">
        <f t="shared" ref="U176:U181" si="35">IF(OR(D176="s",F176="s",H176="s",J176="s",L176="s",N176="s",P176="s",R176="s"), 0, IF(OR(D176="a",F176="a",H176="a",J176="a",L176="a",N176="a",P176="a",R176="a"),V176,0))</f>
        <v>0</v>
      </c>
      <c r="V176" s="417">
        <v>10</v>
      </c>
      <c r="W176" s="82">
        <f t="shared" si="34"/>
        <v>0</v>
      </c>
      <c r="X176" s="717"/>
      <c r="Z176" s="697" t="s">
        <v>656</v>
      </c>
      <c r="AA176" s="698"/>
    </row>
    <row r="177" spans="1:27" ht="45" customHeight="1" x14ac:dyDescent="0.2">
      <c r="A177" s="421"/>
      <c r="B177" s="319" t="s">
        <v>386</v>
      </c>
      <c r="C177" s="131" t="s">
        <v>182</v>
      </c>
      <c r="D177" s="742"/>
      <c r="E177" s="743"/>
      <c r="F177" s="742"/>
      <c r="G177" s="743"/>
      <c r="H177" s="742"/>
      <c r="I177" s="743"/>
      <c r="J177" s="742"/>
      <c r="K177" s="743"/>
      <c r="L177" s="742"/>
      <c r="M177" s="743"/>
      <c r="N177" s="742"/>
      <c r="O177" s="743"/>
      <c r="P177" s="742"/>
      <c r="Q177" s="743"/>
      <c r="R177" s="742"/>
      <c r="S177" s="743"/>
      <c r="T177" s="69"/>
      <c r="U177" s="67">
        <f t="shared" si="35"/>
        <v>0</v>
      </c>
      <c r="V177" s="417">
        <v>10</v>
      </c>
      <c r="W177" s="82">
        <f t="shared" si="34"/>
        <v>0</v>
      </c>
      <c r="X177" s="717"/>
      <c r="Z177" s="697" t="s">
        <v>656</v>
      </c>
      <c r="AA177" s="698"/>
    </row>
    <row r="178" spans="1:27" ht="45" customHeight="1" x14ac:dyDescent="0.2">
      <c r="A178" s="421"/>
      <c r="B178" s="319" t="s">
        <v>846</v>
      </c>
      <c r="C178" s="131" t="s">
        <v>156</v>
      </c>
      <c r="D178" s="742"/>
      <c r="E178" s="743"/>
      <c r="F178" s="742"/>
      <c r="G178" s="743"/>
      <c r="H178" s="742"/>
      <c r="I178" s="743"/>
      <c r="J178" s="742"/>
      <c r="K178" s="743"/>
      <c r="L178" s="742"/>
      <c r="M178" s="743"/>
      <c r="N178" s="742"/>
      <c r="O178" s="743"/>
      <c r="P178" s="742"/>
      <c r="Q178" s="743"/>
      <c r="R178" s="742"/>
      <c r="S178" s="743"/>
      <c r="T178" s="69"/>
      <c r="U178" s="67">
        <f t="shared" si="35"/>
        <v>0</v>
      </c>
      <c r="V178" s="422">
        <v>20</v>
      </c>
      <c r="W178" s="82">
        <f t="shared" si="34"/>
        <v>0</v>
      </c>
      <c r="X178" s="717"/>
      <c r="Z178" s="697"/>
      <c r="AA178" s="698"/>
    </row>
    <row r="179" spans="1:27" ht="27.95" customHeight="1" x14ac:dyDescent="0.2">
      <c r="A179" s="421"/>
      <c r="B179" s="334" t="s">
        <v>1069</v>
      </c>
      <c r="C179" s="131" t="s">
        <v>1070</v>
      </c>
      <c r="D179" s="742"/>
      <c r="E179" s="743"/>
      <c r="F179" s="742"/>
      <c r="G179" s="743"/>
      <c r="H179" s="742"/>
      <c r="I179" s="743"/>
      <c r="J179" s="742"/>
      <c r="K179" s="743"/>
      <c r="L179" s="742"/>
      <c r="M179" s="743"/>
      <c r="N179" s="742"/>
      <c r="O179" s="743"/>
      <c r="P179" s="742"/>
      <c r="Q179" s="743"/>
      <c r="R179" s="742"/>
      <c r="S179" s="743"/>
      <c r="T179" s="69"/>
      <c r="U179" s="67">
        <f t="shared" si="35"/>
        <v>0</v>
      </c>
      <c r="V179" s="422">
        <v>10</v>
      </c>
      <c r="W179" s="82">
        <f t="shared" si="34"/>
        <v>0</v>
      </c>
      <c r="X179" s="717"/>
      <c r="Z179" s="697" t="s">
        <v>656</v>
      </c>
      <c r="AA179" s="698"/>
    </row>
    <row r="180" spans="1:27" ht="27.95" customHeight="1" x14ac:dyDescent="0.2">
      <c r="A180" s="421"/>
      <c r="B180" s="334" t="s">
        <v>1071</v>
      </c>
      <c r="C180" s="131" t="s">
        <v>147</v>
      </c>
      <c r="D180" s="742"/>
      <c r="E180" s="743"/>
      <c r="F180" s="742"/>
      <c r="G180" s="743"/>
      <c r="H180" s="742"/>
      <c r="I180" s="743"/>
      <c r="J180" s="742"/>
      <c r="K180" s="743"/>
      <c r="L180" s="742"/>
      <c r="M180" s="743"/>
      <c r="N180" s="742"/>
      <c r="O180" s="743"/>
      <c r="P180" s="742"/>
      <c r="Q180" s="743"/>
      <c r="R180" s="742"/>
      <c r="S180" s="743"/>
      <c r="T180" s="69"/>
      <c r="U180" s="67">
        <f t="shared" si="35"/>
        <v>0</v>
      </c>
      <c r="V180" s="417">
        <v>10</v>
      </c>
      <c r="W180" s="82">
        <f t="shared" si="34"/>
        <v>0</v>
      </c>
      <c r="X180" s="717"/>
      <c r="Z180" s="697" t="s">
        <v>656</v>
      </c>
      <c r="AA180" s="698"/>
    </row>
    <row r="181" spans="1:27" ht="27.95" customHeight="1" thickBot="1" x14ac:dyDescent="0.25">
      <c r="A181" s="421"/>
      <c r="B181" s="334" t="s">
        <v>1072</v>
      </c>
      <c r="C181" s="131" t="s">
        <v>1073</v>
      </c>
      <c r="D181" s="751"/>
      <c r="E181" s="752"/>
      <c r="F181" s="751"/>
      <c r="G181" s="752"/>
      <c r="H181" s="751"/>
      <c r="I181" s="752"/>
      <c r="J181" s="751"/>
      <c r="K181" s="752"/>
      <c r="L181" s="751"/>
      <c r="M181" s="752"/>
      <c r="N181" s="751"/>
      <c r="O181" s="752"/>
      <c r="P181" s="751"/>
      <c r="Q181" s="752"/>
      <c r="R181" s="751"/>
      <c r="S181" s="752"/>
      <c r="T181" s="69"/>
      <c r="U181" s="68">
        <f t="shared" si="35"/>
        <v>0</v>
      </c>
      <c r="V181" s="422">
        <v>10</v>
      </c>
      <c r="W181" s="82">
        <f t="shared" si="34"/>
        <v>0</v>
      </c>
      <c r="X181" s="717"/>
      <c r="Z181" s="697" t="s">
        <v>656</v>
      </c>
      <c r="AA181" s="698"/>
    </row>
    <row r="182" spans="1:27" ht="21" customHeight="1" thickTop="1" thickBot="1" x14ac:dyDescent="0.25">
      <c r="A182" s="421"/>
      <c r="B182" s="80"/>
      <c r="C182" s="164"/>
      <c r="D182" s="750" t="s">
        <v>662</v>
      </c>
      <c r="E182" s="779"/>
      <c r="F182" s="779"/>
      <c r="G182" s="779"/>
      <c r="H182" s="779"/>
      <c r="I182" s="779"/>
      <c r="J182" s="779"/>
      <c r="K182" s="779"/>
      <c r="L182" s="779"/>
      <c r="M182" s="779"/>
      <c r="N182" s="779"/>
      <c r="O182" s="779"/>
      <c r="P182" s="779"/>
      <c r="Q182" s="779"/>
      <c r="R182" s="779"/>
      <c r="S182" s="779"/>
      <c r="T182" s="780"/>
      <c r="U182" s="2">
        <f>SUM(U175:U181)</f>
        <v>0</v>
      </c>
      <c r="V182" s="418">
        <f>SUM(V175:V181)</f>
        <v>80</v>
      </c>
      <c r="W182" s="82"/>
      <c r="X182" s="721"/>
      <c r="Z182" s="697"/>
      <c r="AA182" s="698"/>
    </row>
    <row r="183" spans="1:27" ht="21" customHeight="1" thickBot="1" x14ac:dyDescent="0.25">
      <c r="A183" s="411"/>
      <c r="B183" s="115"/>
      <c r="C183" s="380"/>
      <c r="D183" s="945"/>
      <c r="E183" s="741"/>
      <c r="F183" s="767">
        <v>60</v>
      </c>
      <c r="G183" s="746"/>
      <c r="H183" s="746"/>
      <c r="I183" s="746"/>
      <c r="J183" s="746"/>
      <c r="K183" s="746"/>
      <c r="L183" s="746"/>
      <c r="M183" s="746"/>
      <c r="N183" s="746"/>
      <c r="O183" s="746"/>
      <c r="P183" s="746"/>
      <c r="Q183" s="746"/>
      <c r="R183" s="746"/>
      <c r="S183" s="746"/>
      <c r="T183" s="746"/>
      <c r="U183" s="746"/>
      <c r="V183" s="747"/>
      <c r="W183" s="82"/>
      <c r="Z183" s="697"/>
      <c r="AA183" s="698"/>
    </row>
    <row r="184" spans="1:27" ht="30" customHeight="1" thickBot="1" x14ac:dyDescent="0.25">
      <c r="A184" s="408"/>
      <c r="B184" s="316" t="s">
        <v>967</v>
      </c>
      <c r="C184" s="254" t="s">
        <v>621</v>
      </c>
      <c r="D184" s="550" t="s">
        <v>661</v>
      </c>
      <c r="E184" s="549"/>
      <c r="F184" s="379" t="s">
        <v>661</v>
      </c>
      <c r="G184" s="99"/>
      <c r="H184" s="550"/>
      <c r="I184" s="549"/>
      <c r="J184" s="379"/>
      <c r="K184" s="99"/>
      <c r="L184" s="550" t="s">
        <v>661</v>
      </c>
      <c r="M184" s="549"/>
      <c r="N184" s="379" t="s">
        <v>661</v>
      </c>
      <c r="O184" s="99"/>
      <c r="P184" s="550"/>
      <c r="Q184" s="255"/>
      <c r="R184" s="258"/>
      <c r="S184" s="256"/>
      <c r="T184" s="390"/>
      <c r="U184" s="266"/>
      <c r="V184" s="428"/>
      <c r="W184" s="82"/>
      <c r="Z184" s="697"/>
      <c r="AA184" s="698"/>
    </row>
    <row r="185" spans="1:27" s="702" customFormat="1" ht="27.95" customHeight="1" x14ac:dyDescent="0.2">
      <c r="A185" s="421"/>
      <c r="B185" s="310" t="s">
        <v>328</v>
      </c>
      <c r="C185" s="282" t="s">
        <v>303</v>
      </c>
      <c r="D185" s="748"/>
      <c r="E185" s="749"/>
      <c r="F185" s="748"/>
      <c r="G185" s="749"/>
      <c r="H185" s="748"/>
      <c r="I185" s="749"/>
      <c r="J185" s="748"/>
      <c r="K185" s="749"/>
      <c r="L185" s="748"/>
      <c r="M185" s="749"/>
      <c r="N185" s="748"/>
      <c r="O185" s="749"/>
      <c r="P185" s="748"/>
      <c r="Q185" s="749"/>
      <c r="R185" s="748"/>
      <c r="S185" s="749"/>
      <c r="T185" s="112"/>
      <c r="U185" s="70">
        <f>IF(OR(D185="s",F185="s",H185="s",J185="s",L185="s",N185="s",P185="s",R185="s"), 0, IF(OR(D185="a",F185="a",H185="a",J185="a",L185="a",N185="a",P185="a",R185="a",T185="NA"),V185,0))</f>
        <v>0</v>
      </c>
      <c r="V185" s="420">
        <v>10</v>
      </c>
      <c r="W185" s="82">
        <f>IF((COUNTIF(D185:S185,"a")+COUNTIF(D185:S185,"s"))&gt;0,IF((COUNTIF(D186:S186,"a")+COUNTIF(D186:S186,"s"))&gt;0,0,COUNTIF(D185:S185,"a")+COUNTIF(D185:S185,"s")+COUNTIF(T185,"NA")), COUNTIF(D185:S185,"a")+COUNTIF(D185:S185,"s")+COUNTIF(T185,"NA"))</f>
        <v>0</v>
      </c>
      <c r="X185" s="717"/>
      <c r="Y185" s="696"/>
      <c r="Z185" s="697"/>
      <c r="AA185" s="698"/>
    </row>
    <row r="186" spans="1:27" ht="88.5" customHeight="1" x14ac:dyDescent="0.2">
      <c r="A186" s="421"/>
      <c r="B186" s="319" t="s">
        <v>966</v>
      </c>
      <c r="C186" s="283" t="s">
        <v>118</v>
      </c>
      <c r="D186" s="742"/>
      <c r="E186" s="743"/>
      <c r="F186" s="742"/>
      <c r="G186" s="743"/>
      <c r="H186" s="742"/>
      <c r="I186" s="743"/>
      <c r="J186" s="742"/>
      <c r="K186" s="743"/>
      <c r="L186" s="742"/>
      <c r="M186" s="743"/>
      <c r="N186" s="742"/>
      <c r="O186" s="743"/>
      <c r="P186" s="742"/>
      <c r="Q186" s="743"/>
      <c r="R186" s="742"/>
      <c r="S186" s="743"/>
      <c r="T186" s="410"/>
      <c r="U186" s="109">
        <f>IF(OR(D186="s",F186="s",H186="s",J186="s",L186="s",N186="s",P186="s",R186="s"), 0, IF(OR(D186="a",F186="a",H186="a",J186="a",L186="a",N186="a",P186="a",R186="a"),V186,0))</f>
        <v>0</v>
      </c>
      <c r="V186" s="417">
        <v>10</v>
      </c>
      <c r="W186" s="82">
        <f>IF((COUNTIF(D186:S186,"a")+COUNTIF(D186:S186,"s"))&gt;0,IF((COUNTIF(D185:S185,"a")+COUNTIF(D185:S185,"s"))&gt;0,0,COUNTIF(D186:S186,"a")+COUNTIF(D186:S186,"s")+COUNTIF(T186,"NA")), COUNTIF(D186:S186,"a")+COUNTIF(D186:S186,"s")+COUNTIF(T186,"NA"))</f>
        <v>0</v>
      </c>
      <c r="X186" s="717"/>
      <c r="Z186" s="697" t="s">
        <v>656</v>
      </c>
      <c r="AA186" s="698"/>
    </row>
    <row r="187" spans="1:27" ht="20.25" customHeight="1" x14ac:dyDescent="0.2">
      <c r="A187" s="421"/>
      <c r="B187" s="320"/>
      <c r="C187" s="252"/>
      <c r="D187" s="795"/>
      <c r="E187" s="796"/>
      <c r="F187" s="783"/>
      <c r="G187" s="783"/>
      <c r="H187" s="783"/>
      <c r="I187" s="783"/>
      <c r="J187" s="783"/>
      <c r="K187" s="783"/>
      <c r="L187" s="783"/>
      <c r="M187" s="783"/>
      <c r="N187" s="783"/>
      <c r="O187" s="783"/>
      <c r="P187" s="783"/>
      <c r="Q187" s="783"/>
      <c r="R187" s="783"/>
      <c r="S187" s="783"/>
      <c r="T187" s="783"/>
      <c r="U187" s="783"/>
      <c r="V187" s="784"/>
      <c r="W187" s="82"/>
      <c r="Z187" s="697"/>
      <c r="AA187" s="698"/>
    </row>
    <row r="188" spans="1:27" ht="45" customHeight="1" x14ac:dyDescent="0.2">
      <c r="A188" s="421"/>
      <c r="B188" s="319" t="s">
        <v>329</v>
      </c>
      <c r="C188" s="284" t="s">
        <v>1024</v>
      </c>
      <c r="D188" s="742"/>
      <c r="E188" s="743"/>
      <c r="F188" s="742"/>
      <c r="G188" s="743"/>
      <c r="H188" s="742"/>
      <c r="I188" s="743"/>
      <c r="J188" s="742"/>
      <c r="K188" s="743"/>
      <c r="L188" s="742"/>
      <c r="M188" s="743"/>
      <c r="N188" s="742"/>
      <c r="O188" s="743"/>
      <c r="P188" s="742"/>
      <c r="Q188" s="743"/>
      <c r="R188" s="742"/>
      <c r="S188" s="743"/>
      <c r="T188" s="111" t="str">
        <f>IF($T$185="na","na","")</f>
        <v/>
      </c>
      <c r="U188" s="67">
        <f>IF(OR(D188="s",F188="s",H188="s",J188="s",L188="s",N188="s",P188="s",R188="s"), 0, IF(OR(D188="a",F188="a",H188="a",J188="a",L188="a",N188="a",P188="a",R188="a",T188="NA"),V188,0))</f>
        <v>0</v>
      </c>
      <c r="V188" s="417">
        <v>10</v>
      </c>
      <c r="W188" s="82">
        <f>COUNTIF(D188:S188,"a")+COUNTIF(D188:S188,"s")+COUNTIF(T188,"NA")</f>
        <v>0</v>
      </c>
      <c r="X188" s="717"/>
      <c r="Z188" s="697" t="s">
        <v>656</v>
      </c>
      <c r="AA188" s="698"/>
    </row>
    <row r="189" spans="1:27" ht="88.5" customHeight="1" thickBot="1" x14ac:dyDescent="0.25">
      <c r="A189" s="421"/>
      <c r="B189" s="319" t="s">
        <v>330</v>
      </c>
      <c r="C189" s="284" t="s">
        <v>87</v>
      </c>
      <c r="D189" s="764"/>
      <c r="E189" s="765"/>
      <c r="F189" s="764"/>
      <c r="G189" s="765"/>
      <c r="H189" s="764"/>
      <c r="I189" s="765"/>
      <c r="J189" s="764"/>
      <c r="K189" s="765"/>
      <c r="L189" s="764"/>
      <c r="M189" s="765"/>
      <c r="N189" s="764"/>
      <c r="O189" s="765"/>
      <c r="P189" s="764"/>
      <c r="Q189" s="765"/>
      <c r="R189" s="764"/>
      <c r="S189" s="765"/>
      <c r="T189" s="113" t="str">
        <f>IF($T$185="na","na","")</f>
        <v/>
      </c>
      <c r="U189" s="67">
        <f>IF(OR(D189="s",F189="s",H189="s",J189="s",L189="s",N189="s",P189="s",R189="s"), 0, IF(OR(D189="a",F189="a",H189="a",J189="a",L189="a",N189="a",P189="a",R189="a",T189="NA"),V189,0))</f>
        <v>0</v>
      </c>
      <c r="V189" s="422">
        <v>10</v>
      </c>
      <c r="W189" s="82">
        <f>COUNTIF(D189:S189,"a")+COUNTIF(D189:S189,"s")+COUNTIF(T189,"NA")</f>
        <v>0</v>
      </c>
      <c r="X189" s="717"/>
      <c r="Z189" s="697" t="s">
        <v>656</v>
      </c>
      <c r="AA189" s="698"/>
    </row>
    <row r="190" spans="1:27" ht="21" customHeight="1" thickTop="1" thickBot="1" x14ac:dyDescent="0.25">
      <c r="A190" s="421"/>
      <c r="B190" s="80"/>
      <c r="C190" s="165"/>
      <c r="D190" s="750" t="s">
        <v>662</v>
      </c>
      <c r="E190" s="779"/>
      <c r="F190" s="779"/>
      <c r="G190" s="779"/>
      <c r="H190" s="779"/>
      <c r="I190" s="779"/>
      <c r="J190" s="779"/>
      <c r="K190" s="779"/>
      <c r="L190" s="779"/>
      <c r="M190" s="779"/>
      <c r="N190" s="779"/>
      <c r="O190" s="779"/>
      <c r="P190" s="779"/>
      <c r="Q190" s="779"/>
      <c r="R190" s="779"/>
      <c r="S190" s="779"/>
      <c r="T190" s="780"/>
      <c r="U190" s="2">
        <f>SUM(U185:U189)</f>
        <v>0</v>
      </c>
      <c r="V190" s="418">
        <f>30</f>
        <v>30</v>
      </c>
      <c r="W190" s="82"/>
      <c r="X190" s="721"/>
      <c r="Z190" s="697"/>
      <c r="AA190" s="698"/>
    </row>
    <row r="191" spans="1:27" ht="21" customHeight="1" thickBot="1" x14ac:dyDescent="0.25">
      <c r="A191" s="411"/>
      <c r="B191" s="115"/>
      <c r="C191" s="380"/>
      <c r="D191" s="945"/>
      <c r="E191" s="741"/>
      <c r="F191" s="1023">
        <v>30</v>
      </c>
      <c r="G191" s="746"/>
      <c r="H191" s="746"/>
      <c r="I191" s="746"/>
      <c r="J191" s="746"/>
      <c r="K191" s="746"/>
      <c r="L191" s="746"/>
      <c r="M191" s="746"/>
      <c r="N191" s="746"/>
      <c r="O191" s="746"/>
      <c r="P191" s="746"/>
      <c r="Q191" s="746"/>
      <c r="R191" s="746"/>
      <c r="S191" s="746"/>
      <c r="T191" s="746"/>
      <c r="U191" s="746"/>
      <c r="V191" s="747"/>
      <c r="W191" s="82"/>
      <c r="Z191" s="697"/>
      <c r="AA191" s="698"/>
    </row>
    <row r="192" spans="1:27" ht="30" customHeight="1" thickBot="1" x14ac:dyDescent="0.25">
      <c r="A192" s="408"/>
      <c r="B192" s="316">
        <v>4300</v>
      </c>
      <c r="C192" s="251" t="s">
        <v>622</v>
      </c>
      <c r="D192" s="257" t="s">
        <v>661</v>
      </c>
      <c r="E192" s="255"/>
      <c r="F192" s="258" t="s">
        <v>661</v>
      </c>
      <c r="G192" s="256"/>
      <c r="H192" s="257"/>
      <c r="I192" s="255"/>
      <c r="J192" s="249"/>
      <c r="K192" s="256"/>
      <c r="L192" s="257"/>
      <c r="M192" s="255"/>
      <c r="N192" s="379"/>
      <c r="O192" s="256"/>
      <c r="P192" s="257"/>
      <c r="Q192" s="255"/>
      <c r="R192" s="257"/>
      <c r="S192" s="255"/>
      <c r="T192" s="390"/>
      <c r="U192" s="374"/>
      <c r="V192" s="374"/>
      <c r="W192" s="82"/>
      <c r="Z192" s="697"/>
      <c r="AA192" s="698"/>
    </row>
    <row r="193" spans="1:27" ht="67.7" customHeight="1" x14ac:dyDescent="0.2">
      <c r="A193" s="421"/>
      <c r="B193" s="318" t="s">
        <v>331</v>
      </c>
      <c r="C193" s="285" t="s">
        <v>1059</v>
      </c>
      <c r="D193" s="785"/>
      <c r="E193" s="786"/>
      <c r="F193" s="785"/>
      <c r="G193" s="786"/>
      <c r="H193" s="785"/>
      <c r="I193" s="786"/>
      <c r="J193" s="785"/>
      <c r="K193" s="786"/>
      <c r="L193" s="785"/>
      <c r="M193" s="786"/>
      <c r="N193" s="785"/>
      <c r="O193" s="786"/>
      <c r="P193" s="785"/>
      <c r="Q193" s="786"/>
      <c r="R193" s="785"/>
      <c r="S193" s="786"/>
      <c r="T193" s="69"/>
      <c r="U193" s="70">
        <f>IF(OR(D193="s",F193="s",H193="s",J193="s",L193="s",N193="s",P193="s",R193="s"), 0, IF(OR(D193="a",F193="a",H193="a",J193="a",L193="a",N193="a",P193="a",R193="a"),V193,0))</f>
        <v>0</v>
      </c>
      <c r="V193" s="417">
        <v>20</v>
      </c>
      <c r="W193" s="82">
        <f>COUNTIF(D193:S193,"a")+COUNTIF(D193:S193,"s")</f>
        <v>0</v>
      </c>
      <c r="X193" s="717"/>
      <c r="Z193" s="697" t="s">
        <v>656</v>
      </c>
      <c r="AA193" s="698"/>
    </row>
    <row r="194" spans="1:27" ht="45" customHeight="1" thickBot="1" x14ac:dyDescent="0.25">
      <c r="A194" s="421"/>
      <c r="B194" s="319" t="s">
        <v>968</v>
      </c>
      <c r="C194" s="286" t="s">
        <v>183</v>
      </c>
      <c r="D194" s="751"/>
      <c r="E194" s="752"/>
      <c r="F194" s="751"/>
      <c r="G194" s="752"/>
      <c r="H194" s="751"/>
      <c r="I194" s="752"/>
      <c r="J194" s="751"/>
      <c r="K194" s="752"/>
      <c r="L194" s="751"/>
      <c r="M194" s="752"/>
      <c r="N194" s="751"/>
      <c r="O194" s="752"/>
      <c r="P194" s="751"/>
      <c r="Q194" s="752"/>
      <c r="R194" s="751"/>
      <c r="S194" s="752"/>
      <c r="T194" s="69"/>
      <c r="U194" s="68">
        <f>IF(OR(D194="s",F194="s",H194="s",J194="s",L194="s",N194="s",P194="s",R194="s"), 0, IF(OR(D194="a",F194="a",H194="a",J194="a",L194="a",N194="a",P194="a",R194="a"),V194,0))</f>
        <v>0</v>
      </c>
      <c r="V194" s="417">
        <v>10</v>
      </c>
      <c r="W194" s="82">
        <f>COUNTIF(D194:S194,"a")+COUNTIF(D194:S194,"s")</f>
        <v>0</v>
      </c>
      <c r="X194" s="717"/>
      <c r="Z194" s="697" t="s">
        <v>656</v>
      </c>
      <c r="AA194" s="698"/>
    </row>
    <row r="195" spans="1:27" ht="21" customHeight="1" thickTop="1" thickBot="1" x14ac:dyDescent="0.25">
      <c r="A195" s="421"/>
      <c r="B195" s="75"/>
      <c r="C195" s="165" t="s">
        <v>744</v>
      </c>
      <c r="D195" s="750" t="s">
        <v>662</v>
      </c>
      <c r="E195" s="779"/>
      <c r="F195" s="779"/>
      <c r="G195" s="779"/>
      <c r="H195" s="779"/>
      <c r="I195" s="779"/>
      <c r="J195" s="779"/>
      <c r="K195" s="779"/>
      <c r="L195" s="779"/>
      <c r="M195" s="779"/>
      <c r="N195" s="779"/>
      <c r="O195" s="779"/>
      <c r="P195" s="779"/>
      <c r="Q195" s="779"/>
      <c r="R195" s="779"/>
      <c r="S195" s="779"/>
      <c r="T195" s="780"/>
      <c r="U195" s="2">
        <f>SUM(U193:U194)</f>
        <v>0</v>
      </c>
      <c r="V195" s="418">
        <f>SUM(V193:V194)</f>
        <v>30</v>
      </c>
      <c r="W195" s="82"/>
      <c r="X195" s="721"/>
      <c r="Z195" s="697"/>
      <c r="AA195" s="698"/>
    </row>
    <row r="196" spans="1:27" ht="21" customHeight="1" thickBot="1" x14ac:dyDescent="0.25">
      <c r="A196" s="421"/>
      <c r="B196" s="75"/>
      <c r="C196" s="401"/>
      <c r="D196" s="1024"/>
      <c r="E196" s="806"/>
      <c r="F196" s="1020">
        <v>30</v>
      </c>
      <c r="G196" s="1021"/>
      <c r="H196" s="1021"/>
      <c r="I196" s="1021"/>
      <c r="J196" s="1021"/>
      <c r="K196" s="1021"/>
      <c r="L196" s="1021"/>
      <c r="M196" s="1021"/>
      <c r="N196" s="1021"/>
      <c r="O196" s="1021"/>
      <c r="P196" s="1021"/>
      <c r="Q196" s="1021"/>
      <c r="R196" s="1021"/>
      <c r="S196" s="1021"/>
      <c r="T196" s="1021"/>
      <c r="U196" s="1021"/>
      <c r="V196" s="1022"/>
      <c r="W196" s="82"/>
      <c r="Z196" s="697"/>
      <c r="AA196" s="698"/>
    </row>
    <row r="197" spans="1:27" ht="30" customHeight="1" thickBot="1" x14ac:dyDescent="0.25">
      <c r="A197" s="421"/>
      <c r="B197" s="322">
        <v>4400</v>
      </c>
      <c r="C197" s="146" t="s">
        <v>590</v>
      </c>
      <c r="D197" s="27"/>
      <c r="E197" s="29"/>
      <c r="F197" s="30" t="s">
        <v>661</v>
      </c>
      <c r="G197" s="31"/>
      <c r="H197" s="27"/>
      <c r="I197" s="29"/>
      <c r="J197" s="25"/>
      <c r="K197" s="31"/>
      <c r="L197" s="27"/>
      <c r="M197" s="29"/>
      <c r="N197" s="36"/>
      <c r="O197" s="31"/>
      <c r="P197" s="27"/>
      <c r="Q197" s="29"/>
      <c r="R197" s="27"/>
      <c r="S197" s="29"/>
      <c r="T197" s="32"/>
      <c r="U197" s="33"/>
      <c r="V197" s="33"/>
      <c r="W197" s="82"/>
      <c r="Z197" s="697"/>
      <c r="AA197" s="698"/>
    </row>
    <row r="198" spans="1:27" ht="27.95" customHeight="1" x14ac:dyDescent="0.2">
      <c r="A198" s="455"/>
      <c r="B198" s="315" t="s">
        <v>868</v>
      </c>
      <c r="C198" s="133" t="s">
        <v>384</v>
      </c>
      <c r="D198" s="748"/>
      <c r="E198" s="749"/>
      <c r="F198" s="748"/>
      <c r="G198" s="749"/>
      <c r="H198" s="748"/>
      <c r="I198" s="749"/>
      <c r="J198" s="748"/>
      <c r="K198" s="749"/>
      <c r="L198" s="748"/>
      <c r="M198" s="749"/>
      <c r="N198" s="748"/>
      <c r="O198" s="749"/>
      <c r="P198" s="748"/>
      <c r="Q198" s="749"/>
      <c r="R198" s="748"/>
      <c r="S198" s="749"/>
      <c r="T198" s="69"/>
      <c r="U198" s="70">
        <f>IF(OR(D198="s",F198="s",H198="s",J198="s",L198="s",N198="s",P198="s",R198="s"), 0, IF(OR(D198="a",F198="a",H198="a",J198="a",L198="a",N198="a",P198="a",R198="a"),V198,0))</f>
        <v>0</v>
      </c>
      <c r="V198" s="420">
        <v>20</v>
      </c>
      <c r="W198" s="82">
        <f>COUNTIF(D198:S198,"a")+COUNTIF(D198:S198,"s")</f>
        <v>0</v>
      </c>
      <c r="X198" s="717"/>
      <c r="Z198" s="697" t="s">
        <v>656</v>
      </c>
      <c r="AA198" s="698"/>
    </row>
    <row r="199" spans="1:27" ht="27.95" customHeight="1" x14ac:dyDescent="0.2">
      <c r="A199" s="455"/>
      <c r="B199" s="319" t="s">
        <v>644</v>
      </c>
      <c r="C199" s="147" t="s">
        <v>63</v>
      </c>
      <c r="D199" s="742"/>
      <c r="E199" s="743"/>
      <c r="F199" s="742"/>
      <c r="G199" s="743"/>
      <c r="H199" s="742"/>
      <c r="I199" s="743"/>
      <c r="J199" s="742"/>
      <c r="K199" s="743"/>
      <c r="L199" s="742"/>
      <c r="M199" s="743"/>
      <c r="N199" s="742"/>
      <c r="O199" s="743"/>
      <c r="P199" s="742"/>
      <c r="Q199" s="743"/>
      <c r="R199" s="742"/>
      <c r="S199" s="743"/>
      <c r="T199" s="69"/>
      <c r="U199" s="71">
        <f>IF(OR(D199="s",F199="s",H199="s",J199="s",L199="s",N199="s",P199="s",R199="s"), 0, IF(OR(D199="a",F199="a",H199="a",J199="a",L199="a",N199="a",P199="a",R199="a"),V199,0))</f>
        <v>0</v>
      </c>
      <c r="V199" s="417">
        <v>10</v>
      </c>
      <c r="W199" s="82">
        <f>COUNTIF(D199:S199,"a")+COUNTIF(D199:S199,"s")</f>
        <v>0</v>
      </c>
      <c r="X199" s="717"/>
      <c r="Z199" s="697" t="s">
        <v>656</v>
      </c>
      <c r="AA199" s="698"/>
    </row>
    <row r="200" spans="1:27" ht="27.95" customHeight="1" x14ac:dyDescent="0.2">
      <c r="A200" s="421"/>
      <c r="B200" s="325" t="s">
        <v>64</v>
      </c>
      <c r="C200" s="147" t="s">
        <v>1099</v>
      </c>
      <c r="D200" s="742"/>
      <c r="E200" s="743"/>
      <c r="F200" s="742"/>
      <c r="G200" s="743"/>
      <c r="H200" s="742"/>
      <c r="I200" s="743"/>
      <c r="J200" s="742"/>
      <c r="K200" s="743"/>
      <c r="L200" s="742"/>
      <c r="M200" s="743"/>
      <c r="N200" s="742"/>
      <c r="O200" s="743"/>
      <c r="P200" s="742"/>
      <c r="Q200" s="743"/>
      <c r="R200" s="742"/>
      <c r="S200" s="743"/>
      <c r="T200" s="69"/>
      <c r="U200" s="67">
        <f>IF(OR(D200="s",F200="s",H200="s",J200="s",L200="s",N200="s",P200="s",R200="s"), 0, IF(OR(D200="a",F200="a",H200="a",J200="a",L200="a",N200="a",P200="a",R200="a"),V200,0))</f>
        <v>0</v>
      </c>
      <c r="V200" s="417">
        <v>10</v>
      </c>
      <c r="W200" s="82">
        <f>COUNTIF(D200:S200,"a")+COUNTIF(D200:S200,"s")</f>
        <v>0</v>
      </c>
      <c r="X200" s="717"/>
      <c r="Z200" s="697"/>
      <c r="AA200" s="698"/>
    </row>
    <row r="201" spans="1:27" ht="27.95" customHeight="1" x14ac:dyDescent="0.2">
      <c r="A201" s="421"/>
      <c r="B201" s="319" t="s">
        <v>1102</v>
      </c>
      <c r="C201" s="275" t="s">
        <v>1745</v>
      </c>
      <c r="D201" s="742"/>
      <c r="E201" s="743"/>
      <c r="F201" s="742"/>
      <c r="G201" s="743"/>
      <c r="H201" s="742"/>
      <c r="I201" s="743"/>
      <c r="J201" s="742"/>
      <c r="K201" s="743"/>
      <c r="L201" s="742"/>
      <c r="M201" s="743"/>
      <c r="N201" s="742"/>
      <c r="O201" s="743"/>
      <c r="P201" s="742"/>
      <c r="Q201" s="743"/>
      <c r="R201" s="742"/>
      <c r="S201" s="743"/>
      <c r="T201" s="69"/>
      <c r="U201" s="67">
        <f>IF(U202=V202,V201,IF(OR(D201="s",F201="s",H201="s",J201="s",L201="s",N201="s",P201="s",R201="s"), 0, IF(OR(D201="a",F201="a",H201="a",J201="a",L201="a",N201="a",P201="a",R201="a"),V201,0)))</f>
        <v>0</v>
      </c>
      <c r="V201" s="417">
        <v>10</v>
      </c>
      <c r="W201" s="82">
        <f>COUNTIF(D201:S201,"a")+COUNTIF(D201:S201,"s")</f>
        <v>0</v>
      </c>
      <c r="X201" s="717"/>
      <c r="Z201" s="697"/>
      <c r="AA201" s="698"/>
    </row>
    <row r="202" spans="1:27" ht="27.95" customHeight="1" x14ac:dyDescent="0.2">
      <c r="A202" s="421"/>
      <c r="B202" s="325" t="s">
        <v>1100</v>
      </c>
      <c r="C202" s="275" t="s">
        <v>1101</v>
      </c>
      <c r="D202" s="742"/>
      <c r="E202" s="743"/>
      <c r="F202" s="742"/>
      <c r="G202" s="743"/>
      <c r="H202" s="742"/>
      <c r="I202" s="743"/>
      <c r="J202" s="742"/>
      <c r="K202" s="743"/>
      <c r="L202" s="742"/>
      <c r="M202" s="743"/>
      <c r="N202" s="742"/>
      <c r="O202" s="743"/>
      <c r="P202" s="742"/>
      <c r="Q202" s="743"/>
      <c r="R202" s="742"/>
      <c r="S202" s="743"/>
      <c r="T202" s="69"/>
      <c r="U202" s="67">
        <f t="shared" ref="U202:U207" si="36">IF(OR(D202="s",F202="s",H202="s",J202="s",L202="s",N202="s",P202="s",R202="s"), 0, IF(OR(D202="a",F202="a",H202="a",J202="a",L202="a",N202="a",P202="a",R202="a"),V202,0))</f>
        <v>0</v>
      </c>
      <c r="V202" s="417">
        <v>10</v>
      </c>
      <c r="W202" s="82">
        <f>COUNTIF(D202:S202,"a")+COUNTIF(D202:S202,"s")</f>
        <v>0</v>
      </c>
      <c r="X202" s="717"/>
      <c r="Z202" s="697"/>
      <c r="AA202" s="698"/>
    </row>
    <row r="203" spans="1:27" ht="27.95" customHeight="1" x14ac:dyDescent="0.2">
      <c r="A203" s="421"/>
      <c r="B203" s="325" t="s">
        <v>1103</v>
      </c>
      <c r="C203" s="275" t="s">
        <v>1054</v>
      </c>
      <c r="D203" s="742"/>
      <c r="E203" s="743"/>
      <c r="F203" s="742"/>
      <c r="G203" s="743"/>
      <c r="H203" s="742"/>
      <c r="I203" s="743"/>
      <c r="J203" s="742"/>
      <c r="K203" s="743"/>
      <c r="L203" s="742"/>
      <c r="M203" s="743"/>
      <c r="N203" s="742"/>
      <c r="O203" s="743"/>
      <c r="P203" s="742"/>
      <c r="Q203" s="743"/>
      <c r="R203" s="742"/>
      <c r="S203" s="743"/>
      <c r="T203" s="69"/>
      <c r="U203" s="67">
        <f t="shared" si="36"/>
        <v>0</v>
      </c>
      <c r="V203" s="417">
        <v>10</v>
      </c>
      <c r="W203" s="82">
        <f t="shared" ref="W203:W207" si="37">COUNTIF(D203:S203,"a")+COUNTIF(D203:S203,"s")</f>
        <v>0</v>
      </c>
      <c r="X203" s="717"/>
      <c r="Z203" s="697" t="s">
        <v>656</v>
      </c>
      <c r="AA203" s="698"/>
    </row>
    <row r="204" spans="1:27" ht="27.95" customHeight="1" x14ac:dyDescent="0.2">
      <c r="A204" s="421"/>
      <c r="B204" s="319" t="s">
        <v>1055</v>
      </c>
      <c r="C204" s="275" t="s">
        <v>477</v>
      </c>
      <c r="D204" s="742"/>
      <c r="E204" s="743"/>
      <c r="F204" s="742"/>
      <c r="G204" s="743"/>
      <c r="H204" s="742"/>
      <c r="I204" s="743"/>
      <c r="J204" s="742"/>
      <c r="K204" s="743"/>
      <c r="L204" s="742"/>
      <c r="M204" s="743"/>
      <c r="N204" s="742"/>
      <c r="O204" s="743"/>
      <c r="P204" s="742"/>
      <c r="Q204" s="743"/>
      <c r="R204" s="742"/>
      <c r="S204" s="743"/>
      <c r="T204" s="69"/>
      <c r="U204" s="67">
        <f t="shared" si="36"/>
        <v>0</v>
      </c>
      <c r="V204" s="417">
        <v>10</v>
      </c>
      <c r="W204" s="82">
        <f t="shared" si="37"/>
        <v>0</v>
      </c>
      <c r="X204" s="717"/>
      <c r="Z204" s="697"/>
      <c r="AA204" s="698"/>
    </row>
    <row r="205" spans="1:27" ht="27.95" customHeight="1" x14ac:dyDescent="0.2">
      <c r="A205" s="421"/>
      <c r="B205" s="319" t="s">
        <v>478</v>
      </c>
      <c r="C205" s="147" t="s">
        <v>406</v>
      </c>
      <c r="D205" s="742"/>
      <c r="E205" s="743"/>
      <c r="F205" s="742"/>
      <c r="G205" s="743"/>
      <c r="H205" s="742"/>
      <c r="I205" s="743"/>
      <c r="J205" s="742"/>
      <c r="K205" s="743"/>
      <c r="L205" s="742"/>
      <c r="M205" s="743"/>
      <c r="N205" s="742"/>
      <c r="O205" s="743"/>
      <c r="P205" s="742"/>
      <c r="Q205" s="743"/>
      <c r="R205" s="742"/>
      <c r="S205" s="743"/>
      <c r="T205" s="69"/>
      <c r="U205" s="67">
        <f t="shared" si="36"/>
        <v>0</v>
      </c>
      <c r="V205" s="417">
        <v>10</v>
      </c>
      <c r="W205" s="82">
        <f t="shared" si="37"/>
        <v>0</v>
      </c>
      <c r="X205" s="717"/>
      <c r="Z205" s="697" t="s">
        <v>656</v>
      </c>
      <c r="AA205" s="698"/>
    </row>
    <row r="206" spans="1:27" ht="45" customHeight="1" x14ac:dyDescent="0.2">
      <c r="A206" s="421"/>
      <c r="B206" s="325" t="s">
        <v>479</v>
      </c>
      <c r="C206" s="147" t="s">
        <v>969</v>
      </c>
      <c r="D206" s="742"/>
      <c r="E206" s="743"/>
      <c r="F206" s="742"/>
      <c r="G206" s="743"/>
      <c r="H206" s="742"/>
      <c r="I206" s="743"/>
      <c r="J206" s="742"/>
      <c r="K206" s="743"/>
      <c r="L206" s="742"/>
      <c r="M206" s="743"/>
      <c r="N206" s="742"/>
      <c r="O206" s="743"/>
      <c r="P206" s="742"/>
      <c r="Q206" s="743"/>
      <c r="R206" s="742"/>
      <c r="S206" s="743"/>
      <c r="T206" s="69"/>
      <c r="U206" s="67">
        <f t="shared" si="36"/>
        <v>0</v>
      </c>
      <c r="V206" s="417">
        <v>40</v>
      </c>
      <c r="W206" s="82">
        <f t="shared" si="37"/>
        <v>0</v>
      </c>
      <c r="X206" s="717"/>
      <c r="Z206" s="697" t="s">
        <v>656</v>
      </c>
      <c r="AA206" s="698"/>
    </row>
    <row r="207" spans="1:27" ht="27.95" customHeight="1" thickBot="1" x14ac:dyDescent="0.25">
      <c r="A207" s="421"/>
      <c r="B207" s="319" t="s">
        <v>403</v>
      </c>
      <c r="C207" s="147" t="s">
        <v>1746</v>
      </c>
      <c r="D207" s="751"/>
      <c r="E207" s="752"/>
      <c r="F207" s="751"/>
      <c r="G207" s="752"/>
      <c r="H207" s="751"/>
      <c r="I207" s="752"/>
      <c r="J207" s="751"/>
      <c r="K207" s="752"/>
      <c r="L207" s="751"/>
      <c r="M207" s="752"/>
      <c r="N207" s="751"/>
      <c r="O207" s="752"/>
      <c r="P207" s="751"/>
      <c r="Q207" s="752"/>
      <c r="R207" s="751"/>
      <c r="S207" s="752"/>
      <c r="T207" s="69"/>
      <c r="U207" s="68">
        <f t="shared" si="36"/>
        <v>0</v>
      </c>
      <c r="V207" s="425">
        <v>30</v>
      </c>
      <c r="W207" s="82">
        <f t="shared" si="37"/>
        <v>0</v>
      </c>
      <c r="X207" s="717"/>
      <c r="Z207" s="697" t="s">
        <v>656</v>
      </c>
      <c r="AA207" s="698"/>
    </row>
    <row r="208" spans="1:27" ht="21" customHeight="1" thickTop="1" thickBot="1" x14ac:dyDescent="0.25">
      <c r="A208" s="421"/>
      <c r="B208" s="100"/>
      <c r="C208" s="173"/>
      <c r="D208" s="750" t="s">
        <v>662</v>
      </c>
      <c r="E208" s="779"/>
      <c r="F208" s="779"/>
      <c r="G208" s="779"/>
      <c r="H208" s="779"/>
      <c r="I208" s="779"/>
      <c r="J208" s="779"/>
      <c r="K208" s="779"/>
      <c r="L208" s="779"/>
      <c r="M208" s="779"/>
      <c r="N208" s="779"/>
      <c r="O208" s="779"/>
      <c r="P208" s="779"/>
      <c r="Q208" s="779"/>
      <c r="R208" s="779"/>
      <c r="S208" s="779"/>
      <c r="T208" s="780"/>
      <c r="U208" s="2">
        <f>SUM(U198:U207)</f>
        <v>0</v>
      </c>
      <c r="V208" s="423">
        <f>SUM(V198:V207)</f>
        <v>160</v>
      </c>
      <c r="W208" s="82"/>
      <c r="X208" s="721"/>
      <c r="Z208" s="697"/>
      <c r="AA208" s="698"/>
    </row>
    <row r="209" spans="1:27" s="701" customFormat="1" ht="21" customHeight="1" thickBot="1" x14ac:dyDescent="0.25">
      <c r="A209" s="421"/>
      <c r="B209" s="180"/>
      <c r="C209" s="268" t="s">
        <v>744</v>
      </c>
      <c r="D209" s="945"/>
      <c r="E209" s="741"/>
      <c r="F209" s="1019">
        <v>120</v>
      </c>
      <c r="G209" s="746"/>
      <c r="H209" s="746"/>
      <c r="I209" s="746"/>
      <c r="J209" s="746"/>
      <c r="K209" s="746"/>
      <c r="L209" s="746"/>
      <c r="M209" s="746"/>
      <c r="N209" s="746"/>
      <c r="O209" s="746"/>
      <c r="P209" s="746"/>
      <c r="Q209" s="746"/>
      <c r="R209" s="746"/>
      <c r="S209" s="746"/>
      <c r="T209" s="746"/>
      <c r="U209" s="746"/>
      <c r="V209" s="747"/>
      <c r="W209" s="298"/>
      <c r="X209" s="718"/>
      <c r="Y209" s="696"/>
      <c r="Z209" s="697"/>
      <c r="AA209" s="698"/>
    </row>
    <row r="210" spans="1:27" ht="30" customHeight="1" thickBot="1" x14ac:dyDescent="0.25">
      <c r="A210" s="421"/>
      <c r="B210" s="322">
        <v>4500</v>
      </c>
      <c r="C210" s="146" t="s">
        <v>815</v>
      </c>
      <c r="D210" s="26" t="s">
        <v>661</v>
      </c>
      <c r="E210" s="35"/>
      <c r="F210" s="36" t="s">
        <v>661</v>
      </c>
      <c r="G210" s="31"/>
      <c r="H210" s="27"/>
      <c r="I210" s="29"/>
      <c r="J210" s="49"/>
      <c r="K210" s="31"/>
      <c r="L210" s="27"/>
      <c r="M210" s="29"/>
      <c r="N210" s="30"/>
      <c r="O210" s="31"/>
      <c r="P210" s="27"/>
      <c r="Q210" s="29"/>
      <c r="R210" s="27"/>
      <c r="S210" s="29"/>
      <c r="T210" s="551"/>
      <c r="U210" s="48"/>
      <c r="V210" s="424"/>
      <c r="W210" s="82"/>
      <c r="Z210" s="697"/>
      <c r="AA210" s="698"/>
    </row>
    <row r="211" spans="1:27" ht="45" customHeight="1" thickBot="1" x14ac:dyDescent="0.25">
      <c r="A211" s="421"/>
      <c r="B211" s="315" t="s">
        <v>480</v>
      </c>
      <c r="C211" s="261" t="s">
        <v>128</v>
      </c>
      <c r="D211" s="773"/>
      <c r="E211" s="774"/>
      <c r="F211" s="773"/>
      <c r="G211" s="774"/>
      <c r="H211" s="773"/>
      <c r="I211" s="774"/>
      <c r="J211" s="773"/>
      <c r="K211" s="774"/>
      <c r="L211" s="773"/>
      <c r="M211" s="774"/>
      <c r="N211" s="773"/>
      <c r="O211" s="774"/>
      <c r="P211" s="773"/>
      <c r="Q211" s="774"/>
      <c r="R211" s="773"/>
      <c r="S211" s="774"/>
      <c r="T211" s="69"/>
      <c r="U211" s="70">
        <f>IF(OR(D211="s",F211="s",H211="s",J211="s",L211="s",N211="s",P211="s",R211="s"), 0, IF(OR(D211="a",F211="a",H211="a",J211="a",L211="a",N211="a",P211="a",R211="a"),V211,0))</f>
        <v>0</v>
      </c>
      <c r="V211" s="420">
        <v>20</v>
      </c>
      <c r="W211" s="82">
        <f>COUNTIF(D211:S211,"a")+COUNTIF(D211:S211,"s")</f>
        <v>0</v>
      </c>
      <c r="X211" s="717"/>
      <c r="Z211" s="697"/>
      <c r="AA211" s="698"/>
    </row>
    <row r="212" spans="1:27" ht="21" customHeight="1" thickTop="1" thickBot="1" x14ac:dyDescent="0.25">
      <c r="A212" s="421"/>
      <c r="B212" s="75"/>
      <c r="C212" s="179"/>
      <c r="D212" s="750" t="s">
        <v>662</v>
      </c>
      <c r="E212" s="779"/>
      <c r="F212" s="779"/>
      <c r="G212" s="779"/>
      <c r="H212" s="779"/>
      <c r="I212" s="779"/>
      <c r="J212" s="779"/>
      <c r="K212" s="779"/>
      <c r="L212" s="779"/>
      <c r="M212" s="779"/>
      <c r="N212" s="779"/>
      <c r="O212" s="779"/>
      <c r="P212" s="779"/>
      <c r="Q212" s="779"/>
      <c r="R212" s="779"/>
      <c r="S212" s="779"/>
      <c r="T212" s="780"/>
      <c r="U212" s="2">
        <f>SUM(U211)</f>
        <v>0</v>
      </c>
      <c r="V212" s="423">
        <f>SUM(V211)</f>
        <v>20</v>
      </c>
      <c r="W212" s="82"/>
      <c r="X212" s="721"/>
      <c r="Z212" s="697"/>
      <c r="AA212" s="698"/>
    </row>
    <row r="213" spans="1:27" ht="21" customHeight="1" thickBot="1" x14ac:dyDescent="0.25">
      <c r="A213" s="411"/>
      <c r="B213" s="115"/>
      <c r="C213" s="380"/>
      <c r="D213" s="945"/>
      <c r="E213" s="741"/>
      <c r="F213" s="1025">
        <v>0</v>
      </c>
      <c r="G213" s="746"/>
      <c r="H213" s="746"/>
      <c r="I213" s="746"/>
      <c r="J213" s="746"/>
      <c r="K213" s="746"/>
      <c r="L213" s="746"/>
      <c r="M213" s="746"/>
      <c r="N213" s="746"/>
      <c r="O213" s="746"/>
      <c r="P213" s="746"/>
      <c r="Q213" s="746"/>
      <c r="R213" s="746"/>
      <c r="S213" s="746"/>
      <c r="T213" s="746"/>
      <c r="U213" s="746"/>
      <c r="V213" s="747"/>
      <c r="W213" s="82"/>
      <c r="Z213" s="697"/>
      <c r="AA213" s="698"/>
    </row>
    <row r="214" spans="1:27" ht="33" customHeight="1" thickBot="1" x14ac:dyDescent="0.25">
      <c r="A214" s="408"/>
      <c r="B214" s="345">
        <v>5000</v>
      </c>
      <c r="C214" s="1000" t="s">
        <v>713</v>
      </c>
      <c r="D214" s="956"/>
      <c r="E214" s="956"/>
      <c r="F214" s="956"/>
      <c r="G214" s="956"/>
      <c r="H214" s="956"/>
      <c r="I214" s="956"/>
      <c r="J214" s="956"/>
      <c r="K214" s="956"/>
      <c r="L214" s="956"/>
      <c r="M214" s="956"/>
      <c r="N214" s="956"/>
      <c r="O214" s="956"/>
      <c r="P214" s="956"/>
      <c r="Q214" s="956"/>
      <c r="R214" s="956"/>
      <c r="S214" s="956"/>
      <c r="T214" s="956"/>
      <c r="U214" s="956"/>
      <c r="V214" s="957"/>
      <c r="W214" s="82"/>
      <c r="Z214" s="697"/>
      <c r="AA214" s="698"/>
    </row>
    <row r="215" spans="1:27" ht="30" customHeight="1" thickBot="1" x14ac:dyDescent="0.25">
      <c r="A215" s="421"/>
      <c r="B215" s="322" t="s">
        <v>1774</v>
      </c>
      <c r="C215" s="146" t="s">
        <v>1776</v>
      </c>
      <c r="D215" s="27"/>
      <c r="E215" s="29"/>
      <c r="F215" s="30"/>
      <c r="G215" s="31"/>
      <c r="H215" s="27"/>
      <c r="I215" s="29"/>
      <c r="J215" s="25"/>
      <c r="K215" s="31"/>
      <c r="L215" s="27"/>
      <c r="M215" s="29"/>
      <c r="N215" s="36"/>
      <c r="O215" s="31"/>
      <c r="P215" s="27"/>
      <c r="Q215" s="29"/>
      <c r="R215" s="27"/>
      <c r="S215" s="29"/>
      <c r="T215" s="32"/>
      <c r="U215" s="33"/>
      <c r="V215" s="33"/>
      <c r="W215" s="82"/>
      <c r="Z215" s="697"/>
      <c r="AA215" s="698"/>
    </row>
    <row r="216" spans="1:27" ht="45" customHeight="1" x14ac:dyDescent="0.2">
      <c r="A216" s="421"/>
      <c r="B216" s="315" t="s">
        <v>1775</v>
      </c>
      <c r="C216" s="133" t="s">
        <v>1780</v>
      </c>
      <c r="D216" s="748"/>
      <c r="E216" s="749"/>
      <c r="F216" s="748"/>
      <c r="G216" s="749"/>
      <c r="H216" s="748"/>
      <c r="I216" s="749"/>
      <c r="J216" s="748"/>
      <c r="K216" s="749"/>
      <c r="L216" s="748"/>
      <c r="M216" s="749"/>
      <c r="N216" s="748"/>
      <c r="O216" s="749"/>
      <c r="P216" s="748"/>
      <c r="Q216" s="749"/>
      <c r="R216" s="748"/>
      <c r="S216" s="749"/>
      <c r="T216" s="69"/>
      <c r="U216" s="70">
        <f>IF(OR(D216="s",F216="s",H216="s",J216="s",L216="s",N216="s",P216="s",R216="s"), 0, IF(OR(D216="a",F216="a",H216="a",J216="a",L216="a",N216="a",P216="a",R216="a"),V216,0))</f>
        <v>0</v>
      </c>
      <c r="V216" s="420">
        <v>10</v>
      </c>
      <c r="W216" s="82">
        <f>COUNTIF(D216:S216,"a")+COUNTIF(D216:S216,"s")</f>
        <v>0</v>
      </c>
      <c r="X216" s="717"/>
      <c r="Z216" s="697"/>
      <c r="AA216" s="698"/>
    </row>
    <row r="217" spans="1:27" ht="45" customHeight="1" x14ac:dyDescent="0.2">
      <c r="A217" s="421"/>
      <c r="B217" s="319" t="s">
        <v>1777</v>
      </c>
      <c r="C217" s="147" t="s">
        <v>1781</v>
      </c>
      <c r="D217" s="742"/>
      <c r="E217" s="743"/>
      <c r="F217" s="742"/>
      <c r="G217" s="743"/>
      <c r="H217" s="742"/>
      <c r="I217" s="743"/>
      <c r="J217" s="742"/>
      <c r="K217" s="743"/>
      <c r="L217" s="742"/>
      <c r="M217" s="743"/>
      <c r="N217" s="742"/>
      <c r="O217" s="743"/>
      <c r="P217" s="742"/>
      <c r="Q217" s="743"/>
      <c r="R217" s="742"/>
      <c r="S217" s="743"/>
      <c r="T217" s="69"/>
      <c r="U217" s="71">
        <f>IF(OR(D217="s",F217="s",H217="s",J217="s",L217="s",N217="s",P217="s",R217="s"), 0, IF(OR(D217="a",F217="a",H217="a",J217="a",L217="a",N217="a",P217="a",R217="a"),V217,0))</f>
        <v>0</v>
      </c>
      <c r="V217" s="417">
        <v>5</v>
      </c>
      <c r="W217" s="82">
        <f>COUNTIF(D217:S217,"a")+COUNTIF(D217:S217,"s")</f>
        <v>0</v>
      </c>
      <c r="X217" s="717"/>
      <c r="Z217" s="697"/>
      <c r="AA217" s="698"/>
    </row>
    <row r="218" spans="1:27" ht="45" customHeight="1" x14ac:dyDescent="0.2">
      <c r="A218" s="421"/>
      <c r="B218" s="325" t="s">
        <v>1778</v>
      </c>
      <c r="C218" s="147" t="s">
        <v>1782</v>
      </c>
      <c r="D218" s="742"/>
      <c r="E218" s="743"/>
      <c r="F218" s="742"/>
      <c r="G218" s="743"/>
      <c r="H218" s="742"/>
      <c r="I218" s="743"/>
      <c r="J218" s="742"/>
      <c r="K218" s="743"/>
      <c r="L218" s="742"/>
      <c r="M218" s="743"/>
      <c r="N218" s="742"/>
      <c r="O218" s="743"/>
      <c r="P218" s="742"/>
      <c r="Q218" s="743"/>
      <c r="R218" s="742"/>
      <c r="S218" s="743"/>
      <c r="T218" s="69"/>
      <c r="U218" s="67">
        <f>IF(OR(D218="s",F218="s",H218="s",J218="s",L218="s",N218="s",P218="s",R218="s"), 0, IF(OR(D218="a",F218="a",H218="a",J218="a",L218="a",N218="a",P218="a",R218="a"),V218,0))</f>
        <v>0</v>
      </c>
      <c r="V218" s="417">
        <v>5</v>
      </c>
      <c r="W218" s="82">
        <f>COUNTIF(D218:S218,"a")+COUNTIF(D218:S218,"s")</f>
        <v>0</v>
      </c>
      <c r="X218" s="717"/>
      <c r="Z218" s="697" t="s">
        <v>656</v>
      </c>
      <c r="AA218" s="698"/>
    </row>
    <row r="219" spans="1:27" ht="27.95" customHeight="1" thickBot="1" x14ac:dyDescent="0.25">
      <c r="A219" s="421"/>
      <c r="B219" s="319" t="s">
        <v>1779</v>
      </c>
      <c r="C219" s="275" t="s">
        <v>1783</v>
      </c>
      <c r="D219" s="742"/>
      <c r="E219" s="743"/>
      <c r="F219" s="742"/>
      <c r="G219" s="743"/>
      <c r="H219" s="742"/>
      <c r="I219" s="743"/>
      <c r="J219" s="742"/>
      <c r="K219" s="743"/>
      <c r="L219" s="742"/>
      <c r="M219" s="743"/>
      <c r="N219" s="742"/>
      <c r="O219" s="743"/>
      <c r="P219" s="742"/>
      <c r="Q219" s="743"/>
      <c r="R219" s="742"/>
      <c r="S219" s="743"/>
      <c r="T219" s="69"/>
      <c r="U219" s="67">
        <f>IF(OR(D219="s",F219="s",H219="s",J219="s",L219="s",N219="s",P219="s",R219="s"), 0, IF(OR(D219="a",F219="a",H219="a",J219="a",L219="a",N219="a",P219="a",R219="a"),V219,0))</f>
        <v>0</v>
      </c>
      <c r="V219" s="417">
        <v>10</v>
      </c>
      <c r="W219" s="82">
        <f>COUNTIF(D219:S219,"a")+COUNTIF(D219:S219,"s")</f>
        <v>0</v>
      </c>
      <c r="X219" s="717"/>
      <c r="Z219" s="697"/>
      <c r="AA219" s="698"/>
    </row>
    <row r="220" spans="1:27" ht="21" customHeight="1" thickTop="1" thickBot="1" x14ac:dyDescent="0.25">
      <c r="A220" s="421"/>
      <c r="B220" s="100"/>
      <c r="C220" s="173"/>
      <c r="D220" s="750" t="s">
        <v>662</v>
      </c>
      <c r="E220" s="779"/>
      <c r="F220" s="779"/>
      <c r="G220" s="779"/>
      <c r="H220" s="779"/>
      <c r="I220" s="779"/>
      <c r="J220" s="779"/>
      <c r="K220" s="779"/>
      <c r="L220" s="779"/>
      <c r="M220" s="779"/>
      <c r="N220" s="779"/>
      <c r="O220" s="779"/>
      <c r="P220" s="779"/>
      <c r="Q220" s="779"/>
      <c r="R220" s="779"/>
      <c r="S220" s="779"/>
      <c r="T220" s="780"/>
      <c r="U220" s="2">
        <f>SUM(U216:U219)</f>
        <v>0</v>
      </c>
      <c r="V220" s="423">
        <f>SUM(V216:V219)</f>
        <v>30</v>
      </c>
      <c r="W220" s="82"/>
      <c r="X220" s="721"/>
      <c r="Z220" s="697"/>
      <c r="AA220" s="698"/>
    </row>
    <row r="221" spans="1:27" s="701" customFormat="1" ht="21" customHeight="1" thickBot="1" x14ac:dyDescent="0.25">
      <c r="A221" s="411"/>
      <c r="B221" s="180"/>
      <c r="C221" s="268" t="s">
        <v>744</v>
      </c>
      <c r="D221" s="945"/>
      <c r="E221" s="741"/>
      <c r="F221" s="761">
        <v>5</v>
      </c>
      <c r="G221" s="762"/>
      <c r="H221" s="762"/>
      <c r="I221" s="762"/>
      <c r="J221" s="762"/>
      <c r="K221" s="762"/>
      <c r="L221" s="762"/>
      <c r="M221" s="762"/>
      <c r="N221" s="762"/>
      <c r="O221" s="762"/>
      <c r="P221" s="762"/>
      <c r="Q221" s="762"/>
      <c r="R221" s="762"/>
      <c r="S221" s="762"/>
      <c r="T221" s="762"/>
      <c r="U221" s="762"/>
      <c r="V221" s="763"/>
      <c r="W221" s="298"/>
      <c r="X221" s="718"/>
      <c r="Y221" s="696"/>
      <c r="Z221" s="697"/>
      <c r="AA221" s="698"/>
    </row>
    <row r="222" spans="1:27" ht="30" customHeight="1" thickBot="1" x14ac:dyDescent="0.25">
      <c r="A222" s="408"/>
      <c r="B222" s="316" t="s">
        <v>415</v>
      </c>
      <c r="C222" s="157" t="s">
        <v>1233</v>
      </c>
      <c r="D222" s="257"/>
      <c r="E222" s="255"/>
      <c r="F222" s="379" t="s">
        <v>661</v>
      </c>
      <c r="G222" s="99"/>
      <c r="H222" s="550"/>
      <c r="I222" s="549"/>
      <c r="J222" s="379"/>
      <c r="K222" s="99"/>
      <c r="L222" s="550" t="s">
        <v>661</v>
      </c>
      <c r="M222" s="549"/>
      <c r="N222" s="379"/>
      <c r="O222" s="99"/>
      <c r="P222" s="550"/>
      <c r="Q222" s="549"/>
      <c r="R222" s="379" t="s">
        <v>661</v>
      </c>
      <c r="S222" s="256"/>
      <c r="T222" s="390"/>
      <c r="U222" s="266"/>
      <c r="V222" s="428"/>
      <c r="W222" s="82"/>
      <c r="Z222" s="697"/>
      <c r="AA222" s="698"/>
    </row>
    <row r="223" spans="1:27" ht="27.95" customHeight="1" x14ac:dyDescent="0.2">
      <c r="A223" s="562"/>
      <c r="B223" s="319"/>
      <c r="C223" s="661" t="s">
        <v>1726</v>
      </c>
      <c r="D223" s="981"/>
      <c r="E223" s="982"/>
      <c r="F223" s="982"/>
      <c r="G223" s="982"/>
      <c r="H223" s="982"/>
      <c r="I223" s="982"/>
      <c r="J223" s="982"/>
      <c r="K223" s="982"/>
      <c r="L223" s="982"/>
      <c r="M223" s="982"/>
      <c r="N223" s="982"/>
      <c r="O223" s="982"/>
      <c r="P223" s="982"/>
      <c r="Q223" s="982"/>
      <c r="R223" s="982"/>
      <c r="S223" s="982"/>
      <c r="T223" s="982"/>
      <c r="U223" s="982"/>
      <c r="V223" s="983"/>
      <c r="W223" s="82"/>
      <c r="Z223" s="697"/>
      <c r="AA223" s="698"/>
    </row>
    <row r="224" spans="1:27" ht="27.95" customHeight="1" x14ac:dyDescent="0.2">
      <c r="A224" s="421"/>
      <c r="B224" s="319" t="s">
        <v>1223</v>
      </c>
      <c r="C224" s="512" t="s">
        <v>1728</v>
      </c>
      <c r="D224" s="742"/>
      <c r="E224" s="743"/>
      <c r="F224" s="742"/>
      <c r="G224" s="743"/>
      <c r="H224" s="742"/>
      <c r="I224" s="743"/>
      <c r="J224" s="742"/>
      <c r="K224" s="743"/>
      <c r="L224" s="742"/>
      <c r="M224" s="743"/>
      <c r="N224" s="742"/>
      <c r="O224" s="743"/>
      <c r="P224" s="742"/>
      <c r="Q224" s="743"/>
      <c r="R224" s="742"/>
      <c r="S224" s="743"/>
      <c r="T224" s="69"/>
      <c r="U224" s="67">
        <f>IF(OR(D224="s",F224="s",H224="s",J224="s",L224="s",N224="s",P224="s",R224="s"), 0, IF(OR(D224="a",F224="a",H224="a",J224="a",L224="a",N224="a",P224="a",R224="a"),V224,0))</f>
        <v>0</v>
      </c>
      <c r="V224" s="446">
        <v>5</v>
      </c>
      <c r="W224" s="82">
        <f>COUNTIF(D224:S224,"a")+COUNTIF(D224:S224,"s")</f>
        <v>0</v>
      </c>
      <c r="X224" s="717"/>
      <c r="Z224" s="697" t="s">
        <v>656</v>
      </c>
      <c r="AA224" s="698"/>
    </row>
    <row r="225" spans="1:27" ht="27.95" customHeight="1" x14ac:dyDescent="0.2">
      <c r="A225" s="421"/>
      <c r="B225" s="319" t="s">
        <v>416</v>
      </c>
      <c r="C225" s="512" t="s">
        <v>650</v>
      </c>
      <c r="D225" s="742"/>
      <c r="E225" s="743"/>
      <c r="F225" s="742"/>
      <c r="G225" s="743"/>
      <c r="H225" s="742"/>
      <c r="I225" s="743"/>
      <c r="J225" s="742"/>
      <c r="K225" s="743"/>
      <c r="L225" s="742"/>
      <c r="M225" s="743"/>
      <c r="N225" s="742"/>
      <c r="O225" s="743"/>
      <c r="P225" s="742"/>
      <c r="Q225" s="743"/>
      <c r="R225" s="742"/>
      <c r="S225" s="743"/>
      <c r="T225" s="112"/>
      <c r="U225" s="67">
        <f>IF(OR(D225="s",F225="s",H225="s",J225="s",L225="s",N225="s",P225="s",R225="s"), 0, IF(OR(D225="a",F225="a",H225="a",J225="a",L225="a",N225="a",P225="a",R225="a"),V225,0))</f>
        <v>0</v>
      </c>
      <c r="V225" s="447">
        <f>IF(T225="na",0,10)</f>
        <v>10</v>
      </c>
      <c r="W225" s="82">
        <f>COUNTIF(D225:S225,"a")+COUNTIF(D225:S225,"s")+COUNTIF(T225,"NA")</f>
        <v>0</v>
      </c>
      <c r="X225" s="717"/>
      <c r="Z225" s="697"/>
      <c r="AA225" s="698"/>
    </row>
    <row r="226" spans="1:27" ht="27.95" customHeight="1" x14ac:dyDescent="0.2">
      <c r="A226" s="421"/>
      <c r="B226" s="319" t="s">
        <v>286</v>
      </c>
      <c r="C226" s="512" t="s">
        <v>1224</v>
      </c>
      <c r="D226" s="742"/>
      <c r="E226" s="743"/>
      <c r="F226" s="742"/>
      <c r="G226" s="743"/>
      <c r="H226" s="742"/>
      <c r="I226" s="743"/>
      <c r="J226" s="742"/>
      <c r="K226" s="743"/>
      <c r="L226" s="742"/>
      <c r="M226" s="743"/>
      <c r="N226" s="742"/>
      <c r="O226" s="743"/>
      <c r="P226" s="742"/>
      <c r="Q226" s="743"/>
      <c r="R226" s="742"/>
      <c r="S226" s="743"/>
      <c r="T226" s="69"/>
      <c r="U226" s="67">
        <f>IF(OR(D226="s",F226="s",H226="s",J226="s",L226="s",N226="s",P226="s",R226="s"), 0, IF(OR(D226="a",F226="a",H226="a",J226="a",L226="a",N226="a",P226="a",R226="a"),V226,0))</f>
        <v>0</v>
      </c>
      <c r="V226" s="446">
        <v>5</v>
      </c>
      <c r="W226" s="82">
        <f>COUNTIF(D226:S226,"a")+COUNTIF(D226:S226,"s")</f>
        <v>0</v>
      </c>
      <c r="X226" s="717"/>
      <c r="Z226" s="697"/>
      <c r="AA226" s="698"/>
    </row>
    <row r="227" spans="1:27" ht="27.95" customHeight="1" x14ac:dyDescent="0.2">
      <c r="A227" s="421"/>
      <c r="B227" s="319" t="s">
        <v>1225</v>
      </c>
      <c r="C227" s="512" t="s">
        <v>1226</v>
      </c>
      <c r="D227" s="742"/>
      <c r="E227" s="743"/>
      <c r="F227" s="742"/>
      <c r="G227" s="743"/>
      <c r="H227" s="742"/>
      <c r="I227" s="743"/>
      <c r="J227" s="742"/>
      <c r="K227" s="743"/>
      <c r="L227" s="742"/>
      <c r="M227" s="743"/>
      <c r="N227" s="742"/>
      <c r="O227" s="743"/>
      <c r="P227" s="742"/>
      <c r="Q227" s="743"/>
      <c r="R227" s="742"/>
      <c r="S227" s="743"/>
      <c r="T227" s="69"/>
      <c r="U227" s="67">
        <f>IF(OR(D227="s",F227="s",H227="s",J227="s",L227="s",N227="s",P227="s",R227="s"), 0, IF(OR(D227="a",F227="a",H227="a",J227="a",L227="a",N227="a",P227="a",R227="a"),V227,0))</f>
        <v>0</v>
      </c>
      <c r="V227" s="447">
        <v>5</v>
      </c>
      <c r="W227" s="82">
        <f>COUNTIF(D227:S227,"a")+COUNTIF(D227:S227,"s")</f>
        <v>0</v>
      </c>
      <c r="X227" s="717"/>
      <c r="Z227" s="697"/>
      <c r="AA227" s="698"/>
    </row>
    <row r="228" spans="1:27" ht="45" customHeight="1" x14ac:dyDescent="0.2">
      <c r="A228" s="421"/>
      <c r="B228" s="319" t="s">
        <v>1217</v>
      </c>
      <c r="C228" s="512" t="s">
        <v>1794</v>
      </c>
      <c r="D228" s="764"/>
      <c r="E228" s="765"/>
      <c r="F228" s="764"/>
      <c r="G228" s="765"/>
      <c r="H228" s="764"/>
      <c r="I228" s="765"/>
      <c r="J228" s="764"/>
      <c r="K228" s="765"/>
      <c r="L228" s="764"/>
      <c r="M228" s="765"/>
      <c r="N228" s="764"/>
      <c r="O228" s="765"/>
      <c r="P228" s="764"/>
      <c r="Q228" s="765"/>
      <c r="R228" s="764"/>
      <c r="S228" s="765"/>
      <c r="T228" s="538"/>
      <c r="U228" s="107">
        <f>IF(OR(D228="s",F228="s",H228="s",J228="s",L228="s",N228="s",P228="s",R228="s"), 0, IF(OR(D228="a",F228="a",H228="a",J228="a",L228="a",N228="a",P228="a",R228="a"),V228,0))</f>
        <v>0</v>
      </c>
      <c r="V228" s="451">
        <v>5</v>
      </c>
      <c r="W228" s="82">
        <f>COUNTIF(D228:S228,"a")+COUNTIF(D228:S228,"s")</f>
        <v>0</v>
      </c>
      <c r="X228" s="717"/>
      <c r="Z228" s="697"/>
      <c r="AA228" s="698"/>
    </row>
    <row r="229" spans="1:27" ht="27.95" customHeight="1" x14ac:dyDescent="0.2">
      <c r="A229" s="562"/>
      <c r="B229" s="319"/>
      <c r="C229" s="661" t="s">
        <v>1720</v>
      </c>
      <c r="D229" s="947"/>
      <c r="E229" s="948"/>
      <c r="F229" s="948"/>
      <c r="G229" s="948"/>
      <c r="H229" s="948"/>
      <c r="I229" s="948"/>
      <c r="J229" s="948"/>
      <c r="K229" s="948"/>
      <c r="L229" s="948"/>
      <c r="M229" s="948"/>
      <c r="N229" s="948"/>
      <c r="O229" s="948"/>
      <c r="P229" s="948"/>
      <c r="Q229" s="948"/>
      <c r="R229" s="948"/>
      <c r="S229" s="948"/>
      <c r="T229" s="948"/>
      <c r="U229" s="948"/>
      <c r="V229" s="949"/>
      <c r="W229" s="82"/>
      <c r="Z229" s="697"/>
      <c r="AA229" s="698"/>
    </row>
    <row r="230" spans="1:27" ht="27.95" customHeight="1" x14ac:dyDescent="0.2">
      <c r="A230" s="562"/>
      <c r="B230" s="319"/>
      <c r="C230" s="661" t="s">
        <v>1729</v>
      </c>
      <c r="D230" s="984"/>
      <c r="E230" s="985"/>
      <c r="F230" s="985"/>
      <c r="G230" s="985"/>
      <c r="H230" s="985"/>
      <c r="I230" s="985"/>
      <c r="J230" s="985"/>
      <c r="K230" s="985"/>
      <c r="L230" s="985"/>
      <c r="M230" s="985"/>
      <c r="N230" s="985"/>
      <c r="O230" s="985"/>
      <c r="P230" s="985"/>
      <c r="Q230" s="985"/>
      <c r="R230" s="985"/>
      <c r="S230" s="985"/>
      <c r="T230" s="985"/>
      <c r="U230" s="985"/>
      <c r="V230" s="986"/>
      <c r="W230" s="82"/>
      <c r="Z230" s="697"/>
      <c r="AA230" s="698"/>
    </row>
    <row r="231" spans="1:27" ht="27.95" customHeight="1" x14ac:dyDescent="0.2">
      <c r="A231" s="421"/>
      <c r="B231" s="319" t="s">
        <v>285</v>
      </c>
      <c r="C231" s="512" t="s">
        <v>1230</v>
      </c>
      <c r="D231" s="742"/>
      <c r="E231" s="743"/>
      <c r="F231" s="742"/>
      <c r="G231" s="743"/>
      <c r="H231" s="742"/>
      <c r="I231" s="743"/>
      <c r="J231" s="742"/>
      <c r="K231" s="743"/>
      <c r="L231" s="742"/>
      <c r="M231" s="743"/>
      <c r="N231" s="742"/>
      <c r="O231" s="743"/>
      <c r="P231" s="742"/>
      <c r="Q231" s="743"/>
      <c r="R231" s="742"/>
      <c r="S231" s="743"/>
      <c r="T231" s="69"/>
      <c r="U231" s="67">
        <f>IF(OR(D231="s",F231="s",H231="s",J231="s",L231="s",N231="s",P231="s",R231="s"), 0, IF(OR(D231="a",F231="a",H231="a",J231="a",L231="a",N231="a",P231="a",R231="a"),V231,0))</f>
        <v>0</v>
      </c>
      <c r="V231" s="447">
        <v>5</v>
      </c>
      <c r="W231" s="82">
        <f>COUNTIF(D231:S231,"a")+COUNTIF(D231:S231,"s")</f>
        <v>0</v>
      </c>
      <c r="X231" s="717"/>
      <c r="Z231" s="697" t="s">
        <v>656</v>
      </c>
      <c r="AA231" s="698"/>
    </row>
    <row r="232" spans="1:27" ht="45" customHeight="1" x14ac:dyDescent="0.2">
      <c r="A232" s="421"/>
      <c r="B232" s="319" t="s">
        <v>1231</v>
      </c>
      <c r="C232" s="512" t="s">
        <v>1753</v>
      </c>
      <c r="D232" s="742"/>
      <c r="E232" s="743"/>
      <c r="F232" s="742"/>
      <c r="G232" s="743"/>
      <c r="H232" s="742"/>
      <c r="I232" s="743"/>
      <c r="J232" s="742"/>
      <c r="K232" s="743"/>
      <c r="L232" s="742"/>
      <c r="M232" s="743"/>
      <c r="N232" s="742"/>
      <c r="O232" s="743"/>
      <c r="P232" s="742"/>
      <c r="Q232" s="743"/>
      <c r="R232" s="742"/>
      <c r="S232" s="743"/>
      <c r="T232" s="112"/>
      <c r="U232" s="67">
        <f>IF(OR(D232="s",F232="s",H232="s",J232="s",L232="s",N232="s",P232="s",R232="s"), 0, IF(OR(D232="a",F232="a",H232="a",J232="a",L232="a",N232="a",P232="a",R232="a"),V232,0))</f>
        <v>0</v>
      </c>
      <c r="V232" s="447">
        <f>IF(T232="na",0,10)</f>
        <v>10</v>
      </c>
      <c r="W232" s="82">
        <f>COUNTIF(D232:S232,"a")+COUNTIF(D232:S232,"s")+COUNTIF(T232,"NA")</f>
        <v>0</v>
      </c>
      <c r="X232" s="717"/>
      <c r="Z232" s="697" t="s">
        <v>656</v>
      </c>
      <c r="AA232" s="698"/>
    </row>
    <row r="233" spans="1:27" ht="45" customHeight="1" x14ac:dyDescent="0.2">
      <c r="A233" s="421"/>
      <c r="B233" s="319" t="s">
        <v>1227</v>
      </c>
      <c r="C233" s="512" t="s">
        <v>1730</v>
      </c>
      <c r="D233" s="742"/>
      <c r="E233" s="743"/>
      <c r="F233" s="742"/>
      <c r="G233" s="743"/>
      <c r="H233" s="742"/>
      <c r="I233" s="743"/>
      <c r="J233" s="742"/>
      <c r="K233" s="743"/>
      <c r="L233" s="742"/>
      <c r="M233" s="743"/>
      <c r="N233" s="742"/>
      <c r="O233" s="743"/>
      <c r="P233" s="742"/>
      <c r="Q233" s="743"/>
      <c r="R233" s="742"/>
      <c r="S233" s="743"/>
      <c r="T233" s="112"/>
      <c r="U233" s="67">
        <f>IF(OR(D233="s",F233="s",H233="s",J233="s",L233="s",N233="s",P233="s",R233="s"), 0, IF(OR(D233="a",F233="a",H233="a",J233="a",L233="a",N233="a",P233="a",R233="a"),V233,0))</f>
        <v>0</v>
      </c>
      <c r="V233" s="447">
        <f>IF(T233="na",0,5)</f>
        <v>5</v>
      </c>
      <c r="W233" s="82">
        <f>COUNTIF(D233:S233,"a")+COUNTIF(D233:S233,"s")+COUNTIF(T233,"NA")</f>
        <v>0</v>
      </c>
      <c r="X233" s="717"/>
      <c r="Z233" s="697"/>
      <c r="AA233" s="698"/>
    </row>
    <row r="234" spans="1:27" ht="27.95" customHeight="1" x14ac:dyDescent="0.2">
      <c r="A234" s="421"/>
      <c r="B234" s="319" t="s">
        <v>1228</v>
      </c>
      <c r="C234" s="512" t="s">
        <v>1731</v>
      </c>
      <c r="D234" s="742"/>
      <c r="E234" s="743"/>
      <c r="F234" s="742"/>
      <c r="G234" s="743"/>
      <c r="H234" s="742"/>
      <c r="I234" s="743"/>
      <c r="J234" s="742"/>
      <c r="K234" s="743"/>
      <c r="L234" s="742"/>
      <c r="M234" s="743"/>
      <c r="N234" s="742"/>
      <c r="O234" s="743"/>
      <c r="P234" s="742"/>
      <c r="Q234" s="743"/>
      <c r="R234" s="742"/>
      <c r="S234" s="743"/>
      <c r="T234" s="69"/>
      <c r="U234" s="67">
        <f>IF(OR(D234="s",F234="s",H234="s",J234="s",L234="s",N234="s",P234="s",R234="s"), 0, IF(OR(D234="a",F234="a",H234="a",J234="a",L234="a",N234="a",P234="a",R234="a"),V234,0))</f>
        <v>0</v>
      </c>
      <c r="V234" s="447">
        <v>5</v>
      </c>
      <c r="W234" s="82">
        <f>COUNTIF(D234:S234,"a")+COUNTIF(D234:S234,"s")</f>
        <v>0</v>
      </c>
      <c r="X234" s="717"/>
      <c r="Z234" s="697"/>
      <c r="AA234" s="698"/>
    </row>
    <row r="235" spans="1:27" ht="27.95" customHeight="1" x14ac:dyDescent="0.2">
      <c r="A235" s="421"/>
      <c r="B235" s="319" t="s">
        <v>1229</v>
      </c>
      <c r="C235" s="512" t="s">
        <v>1732</v>
      </c>
      <c r="D235" s="742"/>
      <c r="E235" s="743"/>
      <c r="F235" s="742"/>
      <c r="G235" s="743"/>
      <c r="H235" s="742"/>
      <c r="I235" s="743"/>
      <c r="J235" s="742"/>
      <c r="K235" s="743"/>
      <c r="L235" s="742"/>
      <c r="M235" s="743"/>
      <c r="N235" s="742"/>
      <c r="O235" s="743"/>
      <c r="P235" s="742"/>
      <c r="Q235" s="743"/>
      <c r="R235" s="742"/>
      <c r="S235" s="743"/>
      <c r="T235" s="291"/>
      <c r="U235" s="67">
        <f>IF(OR(D235="s",F235="s",H235="s",J235="s",L235="s",N235="s",P235="s",R235="s"), 0, IF(OR(D235="a",F235="a",H235="a",J235="a",L235="a",N235="a",P235="a",R235="a"),V235,0))</f>
        <v>0</v>
      </c>
      <c r="V235" s="447">
        <v>5</v>
      </c>
      <c r="W235" s="82">
        <f>COUNTIF(D235:S235,"a")+COUNTIF(D235:S235,"s")</f>
        <v>0</v>
      </c>
      <c r="X235" s="717"/>
      <c r="Z235" s="697"/>
      <c r="AA235" s="698"/>
    </row>
    <row r="236" spans="1:27" ht="27.95" customHeight="1" x14ac:dyDescent="0.2">
      <c r="A236" s="562"/>
      <c r="B236" s="319"/>
      <c r="C236" s="661" t="s">
        <v>1727</v>
      </c>
      <c r="D236" s="984"/>
      <c r="E236" s="985"/>
      <c r="F236" s="985"/>
      <c r="G236" s="985"/>
      <c r="H236" s="985"/>
      <c r="I236" s="985"/>
      <c r="J236" s="985"/>
      <c r="K236" s="985"/>
      <c r="L236" s="985"/>
      <c r="M236" s="985"/>
      <c r="N236" s="985"/>
      <c r="O236" s="985"/>
      <c r="P236" s="985"/>
      <c r="Q236" s="985"/>
      <c r="R236" s="985"/>
      <c r="S236" s="985"/>
      <c r="T236" s="985"/>
      <c r="U236" s="985"/>
      <c r="V236" s="986"/>
      <c r="W236" s="82"/>
      <c r="Z236" s="697"/>
      <c r="AA236" s="698"/>
    </row>
    <row r="237" spans="1:27" ht="27.95" customHeight="1" x14ac:dyDescent="0.2">
      <c r="A237" s="543"/>
      <c r="B237" s="319" t="s">
        <v>1218</v>
      </c>
      <c r="C237" s="512" t="s">
        <v>1232</v>
      </c>
      <c r="D237" s="742"/>
      <c r="E237" s="743"/>
      <c r="F237" s="742"/>
      <c r="G237" s="743"/>
      <c r="H237" s="742"/>
      <c r="I237" s="743"/>
      <c r="J237" s="742"/>
      <c r="K237" s="743"/>
      <c r="L237" s="742"/>
      <c r="M237" s="743"/>
      <c r="N237" s="742"/>
      <c r="O237" s="743"/>
      <c r="P237" s="742"/>
      <c r="Q237" s="743"/>
      <c r="R237" s="742"/>
      <c r="S237" s="743"/>
      <c r="T237" s="112"/>
      <c r="U237" s="67">
        <f>IF(OR(D237="s",F237="s",H237="s",J237="s",L237="s",N237="s",P237="s",R237="s"), 0, IF(OR(D237="a",F237="a",H237="a",J237="a",L237="a",N237="a",P237="a",R237="a"),V237,0))</f>
        <v>0</v>
      </c>
      <c r="V237" s="447">
        <v>10</v>
      </c>
      <c r="W237" s="82">
        <f>COUNTIF(D237:S237,"a")+COUNTIF(D237:S237,"s")+COUNTIF(T237,"NA")</f>
        <v>0</v>
      </c>
      <c r="X237" s="717"/>
      <c r="Z237" s="697" t="s">
        <v>656</v>
      </c>
      <c r="AA237" s="698"/>
    </row>
    <row r="238" spans="1:27" ht="27.95" customHeight="1" x14ac:dyDescent="0.2">
      <c r="A238" s="562"/>
      <c r="B238" s="319"/>
      <c r="C238" s="661" t="s">
        <v>1721</v>
      </c>
      <c r="D238" s="984"/>
      <c r="E238" s="985"/>
      <c r="F238" s="985"/>
      <c r="G238" s="985"/>
      <c r="H238" s="985"/>
      <c r="I238" s="985"/>
      <c r="J238" s="985"/>
      <c r="K238" s="985"/>
      <c r="L238" s="985"/>
      <c r="M238" s="985"/>
      <c r="N238" s="985"/>
      <c r="O238" s="985"/>
      <c r="P238" s="985"/>
      <c r="Q238" s="985"/>
      <c r="R238" s="985"/>
      <c r="S238" s="985"/>
      <c r="T238" s="985"/>
      <c r="U238" s="985"/>
      <c r="V238" s="986"/>
      <c r="W238" s="82"/>
      <c r="Z238" s="697"/>
      <c r="AA238" s="698"/>
    </row>
    <row r="239" spans="1:27" ht="45" customHeight="1" x14ac:dyDescent="0.2">
      <c r="A239" s="421"/>
      <c r="B239" s="319" t="s">
        <v>1219</v>
      </c>
      <c r="C239" s="512" t="s">
        <v>1741</v>
      </c>
      <c r="D239" s="742"/>
      <c r="E239" s="743"/>
      <c r="F239" s="742"/>
      <c r="G239" s="743"/>
      <c r="H239" s="742"/>
      <c r="I239" s="743"/>
      <c r="J239" s="742"/>
      <c r="K239" s="743"/>
      <c r="L239" s="742"/>
      <c r="M239" s="743"/>
      <c r="N239" s="742"/>
      <c r="O239" s="743"/>
      <c r="P239" s="742"/>
      <c r="Q239" s="743"/>
      <c r="R239" s="742"/>
      <c r="S239" s="743"/>
      <c r="T239" s="69"/>
      <c r="U239" s="67">
        <f>IF(OR(D239="s",F239="s",H239="s",J239="s",L239="s",N239="s",P239="s",R239="s"), 0, IF(OR(D239="a",F239="a",H239="a",J239="a",L239="a",N239="a",P239="a",R239="a"),V239,0))</f>
        <v>0</v>
      </c>
      <c r="V239" s="447">
        <v>10</v>
      </c>
      <c r="W239" s="82">
        <f>COUNTIF(D239:S239,"a")+COUNTIF(D239:S239,"s")</f>
        <v>0</v>
      </c>
      <c r="X239" s="717"/>
      <c r="Z239" s="697" t="s">
        <v>656</v>
      </c>
      <c r="AA239" s="698"/>
    </row>
    <row r="240" spans="1:27" ht="27.95" customHeight="1" x14ac:dyDescent="0.2">
      <c r="A240" s="562"/>
      <c r="B240" s="319"/>
      <c r="C240" s="661" t="s">
        <v>1722</v>
      </c>
      <c r="D240" s="984"/>
      <c r="E240" s="985"/>
      <c r="F240" s="985"/>
      <c r="G240" s="985"/>
      <c r="H240" s="985"/>
      <c r="I240" s="985"/>
      <c r="J240" s="985"/>
      <c r="K240" s="985"/>
      <c r="L240" s="985"/>
      <c r="M240" s="985"/>
      <c r="N240" s="985"/>
      <c r="O240" s="985"/>
      <c r="P240" s="985"/>
      <c r="Q240" s="985"/>
      <c r="R240" s="985"/>
      <c r="S240" s="985"/>
      <c r="T240" s="985"/>
      <c r="U240" s="985"/>
      <c r="V240" s="986"/>
      <c r="W240" s="82"/>
      <c r="Z240" s="697"/>
      <c r="AA240" s="698"/>
    </row>
    <row r="241" spans="1:27" ht="27.95" customHeight="1" x14ac:dyDescent="0.2">
      <c r="A241" s="421"/>
      <c r="B241" s="319" t="s">
        <v>1221</v>
      </c>
      <c r="C241" s="512" t="s">
        <v>1222</v>
      </c>
      <c r="D241" s="742"/>
      <c r="E241" s="743"/>
      <c r="F241" s="742"/>
      <c r="G241" s="743"/>
      <c r="H241" s="742"/>
      <c r="I241" s="743"/>
      <c r="J241" s="742"/>
      <c r="K241" s="743"/>
      <c r="L241" s="742"/>
      <c r="M241" s="743"/>
      <c r="N241" s="742"/>
      <c r="O241" s="743"/>
      <c r="P241" s="742"/>
      <c r="Q241" s="743"/>
      <c r="R241" s="742"/>
      <c r="S241" s="743"/>
      <c r="T241" s="69"/>
      <c r="U241" s="67">
        <f>IF(OR(D241="s",F241="s",H241="s",J241="s",L241="s",N241="s",P241="s",R241="s"), 0, IF(OR(D241="a",F241="a",H241="a",J241="a",L241="a",N241="a",P241="a",R241="a"),V241,0))</f>
        <v>0</v>
      </c>
      <c r="V241" s="447">
        <v>10</v>
      </c>
      <c r="W241" s="82">
        <f>COUNTIF(D241:S241,"a")+COUNTIF(D241:S241,"s")</f>
        <v>0</v>
      </c>
      <c r="X241" s="717"/>
      <c r="Z241" s="697"/>
      <c r="AA241" s="698"/>
    </row>
    <row r="242" spans="1:27" ht="27.95" customHeight="1" x14ac:dyDescent="0.2">
      <c r="A242" s="408"/>
      <c r="B242" s="310" t="s">
        <v>1734</v>
      </c>
      <c r="C242" s="511" t="s">
        <v>1736</v>
      </c>
      <c r="D242" s="744"/>
      <c r="E242" s="745"/>
      <c r="F242" s="744"/>
      <c r="G242" s="745"/>
      <c r="H242" s="744"/>
      <c r="I242" s="745"/>
      <c r="J242" s="744"/>
      <c r="K242" s="745"/>
      <c r="L242" s="744"/>
      <c r="M242" s="745"/>
      <c r="N242" s="744"/>
      <c r="O242" s="745"/>
      <c r="P242" s="744"/>
      <c r="Q242" s="745"/>
      <c r="R242" s="744"/>
      <c r="S242" s="745"/>
      <c r="T242" s="69"/>
      <c r="U242" s="71">
        <f>IF(OR(D242="s",F242="s",H242="s",J242="s",L242="s",N242="s",P242="s",R242="s"), 0, IF(OR(D242="a",F242="a",H242="a",J242="a",L242="a",N242="a",P242="a",R242="a"),V242,0))</f>
        <v>0</v>
      </c>
      <c r="V242" s="446">
        <v>5</v>
      </c>
      <c r="W242" s="82">
        <f>COUNTIF(D242:S242,"a")+COUNTIF(D242:S242,"s")</f>
        <v>0</v>
      </c>
      <c r="X242" s="717"/>
      <c r="Z242" s="697" t="s">
        <v>656</v>
      </c>
      <c r="AA242" s="698"/>
    </row>
    <row r="243" spans="1:27" ht="45" customHeight="1" x14ac:dyDescent="0.2">
      <c r="A243" s="421"/>
      <c r="B243" s="319" t="s">
        <v>1735</v>
      </c>
      <c r="C243" s="512" t="s">
        <v>1737</v>
      </c>
      <c r="D243" s="742"/>
      <c r="E243" s="743"/>
      <c r="F243" s="742"/>
      <c r="G243" s="743"/>
      <c r="H243" s="742"/>
      <c r="I243" s="743"/>
      <c r="J243" s="742"/>
      <c r="K243" s="743"/>
      <c r="L243" s="742"/>
      <c r="M243" s="743"/>
      <c r="N243" s="742"/>
      <c r="O243" s="743"/>
      <c r="P243" s="742"/>
      <c r="Q243" s="743"/>
      <c r="R243" s="742"/>
      <c r="S243" s="743"/>
      <c r="T243" s="69"/>
      <c r="U243" s="67">
        <f t="shared" ref="U243:U246" si="38">IF(OR(D243="s",F243="s",H243="s",J243="s",L243="s",N243="s",P243="s",R243="s"), 0, IF(OR(D243="a",F243="a",H243="a",J243="a",L243="a",N243="a",P243="a",R243="a"),V243,0))</f>
        <v>0</v>
      </c>
      <c r="V243" s="446">
        <v>5</v>
      </c>
      <c r="W243" s="82">
        <f t="shared" ref="W243:W246" si="39">COUNTIF(D243:S243,"a")+COUNTIF(D243:S243,"s")</f>
        <v>0</v>
      </c>
      <c r="X243" s="717"/>
      <c r="Z243" s="697"/>
      <c r="AA243" s="698"/>
    </row>
    <row r="244" spans="1:27" ht="45" customHeight="1" x14ac:dyDescent="0.2">
      <c r="A244" s="421"/>
      <c r="B244" s="319" t="s">
        <v>1723</v>
      </c>
      <c r="C244" s="512" t="s">
        <v>1738</v>
      </c>
      <c r="D244" s="742"/>
      <c r="E244" s="743"/>
      <c r="F244" s="742"/>
      <c r="G244" s="743"/>
      <c r="H244" s="742"/>
      <c r="I244" s="743"/>
      <c r="J244" s="742"/>
      <c r="K244" s="743"/>
      <c r="L244" s="742"/>
      <c r="M244" s="743"/>
      <c r="N244" s="742"/>
      <c r="O244" s="743"/>
      <c r="P244" s="742"/>
      <c r="Q244" s="743"/>
      <c r="R244" s="742"/>
      <c r="S244" s="743"/>
      <c r="T244" s="69"/>
      <c r="U244" s="67">
        <f t="shared" si="38"/>
        <v>0</v>
      </c>
      <c r="V244" s="447">
        <v>5</v>
      </c>
      <c r="W244" s="82">
        <f t="shared" si="39"/>
        <v>0</v>
      </c>
      <c r="X244" s="717"/>
      <c r="Z244" s="697"/>
      <c r="AA244" s="698"/>
    </row>
    <row r="245" spans="1:27" ht="45" customHeight="1" x14ac:dyDescent="0.2">
      <c r="A245" s="421"/>
      <c r="B245" s="319" t="s">
        <v>1724</v>
      </c>
      <c r="C245" s="512" t="s">
        <v>1747</v>
      </c>
      <c r="D245" s="742"/>
      <c r="E245" s="743"/>
      <c r="F245" s="742"/>
      <c r="G245" s="743"/>
      <c r="H245" s="742"/>
      <c r="I245" s="743"/>
      <c r="J245" s="742"/>
      <c r="K245" s="743"/>
      <c r="L245" s="742"/>
      <c r="M245" s="743"/>
      <c r="N245" s="742"/>
      <c r="O245" s="743"/>
      <c r="P245" s="742"/>
      <c r="Q245" s="743"/>
      <c r="R245" s="742"/>
      <c r="S245" s="743"/>
      <c r="T245" s="69"/>
      <c r="U245" s="67">
        <f t="shared" si="38"/>
        <v>0</v>
      </c>
      <c r="V245" s="447">
        <v>5</v>
      </c>
      <c r="W245" s="82">
        <f t="shared" si="39"/>
        <v>0</v>
      </c>
      <c r="X245" s="717"/>
      <c r="Z245" s="697"/>
      <c r="AA245" s="698"/>
    </row>
    <row r="246" spans="1:27" ht="45" customHeight="1" x14ac:dyDescent="0.2">
      <c r="A246" s="421"/>
      <c r="B246" s="319" t="s">
        <v>1725</v>
      </c>
      <c r="C246" s="512" t="s">
        <v>1799</v>
      </c>
      <c r="D246" s="742"/>
      <c r="E246" s="743"/>
      <c r="F246" s="742"/>
      <c r="G246" s="743"/>
      <c r="H246" s="742"/>
      <c r="I246" s="743"/>
      <c r="J246" s="742"/>
      <c r="K246" s="743"/>
      <c r="L246" s="742"/>
      <c r="M246" s="743"/>
      <c r="N246" s="742"/>
      <c r="O246" s="743"/>
      <c r="P246" s="742"/>
      <c r="Q246" s="743"/>
      <c r="R246" s="742"/>
      <c r="S246" s="743"/>
      <c r="T246" s="69"/>
      <c r="U246" s="67">
        <f t="shared" si="38"/>
        <v>0</v>
      </c>
      <c r="V246" s="447">
        <v>5</v>
      </c>
      <c r="W246" s="82">
        <f t="shared" si="39"/>
        <v>0</v>
      </c>
      <c r="X246" s="717"/>
      <c r="Z246" s="697"/>
      <c r="AA246" s="698"/>
    </row>
    <row r="247" spans="1:27" ht="106.5" customHeight="1" x14ac:dyDescent="0.2">
      <c r="A247" s="421" t="s">
        <v>482</v>
      </c>
      <c r="B247" s="319" t="s">
        <v>1837</v>
      </c>
      <c r="C247" s="512" t="s">
        <v>1838</v>
      </c>
      <c r="D247" s="742"/>
      <c r="E247" s="743"/>
      <c r="F247" s="742"/>
      <c r="G247" s="743"/>
      <c r="H247" s="742"/>
      <c r="I247" s="743"/>
      <c r="J247" s="742"/>
      <c r="K247" s="743"/>
      <c r="L247" s="742"/>
      <c r="M247" s="743"/>
      <c r="N247" s="742"/>
      <c r="O247" s="743"/>
      <c r="P247" s="742"/>
      <c r="Q247" s="743"/>
      <c r="R247" s="742"/>
      <c r="S247" s="743"/>
      <c r="T247" s="69"/>
      <c r="U247" s="67">
        <f t="shared" ref="U247" si="40">IF(OR(D247="s",F247="s",H247="s",J247="s",L247="s",N247="s",P247="s",R247="s"), 0, IF(OR(D247="a",F247="a",H247="a",J247="a",L247="a",N247="a",P247="a",R247="a"),V247,0))</f>
        <v>0</v>
      </c>
      <c r="V247" s="447">
        <v>5</v>
      </c>
      <c r="W247" s="82">
        <f t="shared" ref="W247" si="41">COUNTIF(D247:S247,"a")+COUNTIF(D247:S247,"s")</f>
        <v>0</v>
      </c>
      <c r="X247" s="717"/>
      <c r="Z247" s="697"/>
      <c r="AA247" s="698"/>
    </row>
    <row r="248" spans="1:27" ht="27.95" customHeight="1" x14ac:dyDescent="0.2">
      <c r="A248" s="562"/>
      <c r="B248" s="319"/>
      <c r="C248" s="661" t="s">
        <v>1713</v>
      </c>
      <c r="D248" s="984"/>
      <c r="E248" s="985"/>
      <c r="F248" s="985"/>
      <c r="G248" s="985"/>
      <c r="H248" s="985"/>
      <c r="I248" s="985"/>
      <c r="J248" s="985"/>
      <c r="K248" s="985"/>
      <c r="L248" s="985"/>
      <c r="M248" s="985"/>
      <c r="N248" s="985"/>
      <c r="O248" s="985"/>
      <c r="P248" s="985"/>
      <c r="Q248" s="985"/>
      <c r="R248" s="985"/>
      <c r="S248" s="985"/>
      <c r="T248" s="985"/>
      <c r="U248" s="985"/>
      <c r="V248" s="986"/>
      <c r="W248" s="82"/>
      <c r="Z248" s="697"/>
      <c r="AA248" s="698"/>
    </row>
    <row r="249" spans="1:27" ht="27.95" customHeight="1" thickBot="1" x14ac:dyDescent="0.25">
      <c r="A249" s="421"/>
      <c r="B249" s="319" t="s">
        <v>1216</v>
      </c>
      <c r="C249" s="512" t="s">
        <v>1733</v>
      </c>
      <c r="D249" s="742"/>
      <c r="E249" s="743"/>
      <c r="F249" s="742"/>
      <c r="G249" s="743"/>
      <c r="H249" s="742"/>
      <c r="I249" s="743"/>
      <c r="J249" s="742"/>
      <c r="K249" s="743"/>
      <c r="L249" s="742"/>
      <c r="M249" s="743"/>
      <c r="N249" s="742"/>
      <c r="O249" s="743"/>
      <c r="P249" s="742"/>
      <c r="Q249" s="743"/>
      <c r="R249" s="742"/>
      <c r="S249" s="743"/>
      <c r="T249" s="69"/>
      <c r="U249" s="67">
        <f t="shared" ref="U249" si="42">IF(OR(D249="s",F249="s",H249="s",J249="s",L249="s",N249="s",P249="s",R249="s"), 0, IF(OR(D249="a",F249="a",H249="a",J249="a",L249="a",N249="a",P249="a",R249="a"),V249,0))</f>
        <v>0</v>
      </c>
      <c r="V249" s="447">
        <v>5</v>
      </c>
      <c r="W249" s="82">
        <f>COUNTIF(D249:S249,"a")+COUNTIF(D249:S249,"s")</f>
        <v>0</v>
      </c>
      <c r="X249" s="717"/>
      <c r="Z249" s="697" t="s">
        <v>656</v>
      </c>
      <c r="AA249" s="698"/>
    </row>
    <row r="250" spans="1:27" ht="21" customHeight="1" thickTop="1" thickBot="1" x14ac:dyDescent="0.25">
      <c r="A250" s="421"/>
      <c r="B250" s="75"/>
      <c r="C250" s="164"/>
      <c r="D250" s="750" t="s">
        <v>662</v>
      </c>
      <c r="E250" s="779"/>
      <c r="F250" s="779"/>
      <c r="G250" s="779"/>
      <c r="H250" s="779"/>
      <c r="I250" s="779"/>
      <c r="J250" s="779"/>
      <c r="K250" s="779"/>
      <c r="L250" s="779"/>
      <c r="M250" s="779"/>
      <c r="N250" s="779"/>
      <c r="O250" s="779"/>
      <c r="P250" s="779"/>
      <c r="Q250" s="779"/>
      <c r="R250" s="779"/>
      <c r="S250" s="779"/>
      <c r="T250" s="780"/>
      <c r="U250" s="2">
        <f>SUM(U224:U249)</f>
        <v>0</v>
      </c>
      <c r="V250" s="449">
        <f>SUM(V224:V249)</f>
        <v>125</v>
      </c>
      <c r="W250" s="82"/>
      <c r="Z250" s="697"/>
      <c r="AA250" s="698"/>
    </row>
    <row r="251" spans="1:27" ht="21" customHeight="1" thickBot="1" x14ac:dyDescent="0.25">
      <c r="A251" s="411"/>
      <c r="B251" s="115"/>
      <c r="C251" s="466" t="s">
        <v>744</v>
      </c>
      <c r="D251" s="945"/>
      <c r="E251" s="741"/>
      <c r="F251" s="830">
        <f>IF(T232="na",40,50)</f>
        <v>50</v>
      </c>
      <c r="G251" s="831"/>
      <c r="H251" s="831"/>
      <c r="I251" s="831"/>
      <c r="J251" s="831"/>
      <c r="K251" s="831"/>
      <c r="L251" s="831"/>
      <c r="M251" s="831"/>
      <c r="N251" s="831"/>
      <c r="O251" s="831"/>
      <c r="P251" s="831"/>
      <c r="Q251" s="831"/>
      <c r="R251" s="831"/>
      <c r="S251" s="831"/>
      <c r="T251" s="831"/>
      <c r="U251" s="831"/>
      <c r="V251" s="832"/>
      <c r="W251" s="82"/>
      <c r="Z251" s="697"/>
      <c r="AA251" s="698"/>
    </row>
    <row r="252" spans="1:27" ht="30" customHeight="1" thickBot="1" x14ac:dyDescent="0.25">
      <c r="A252" s="408"/>
      <c r="B252" s="314">
        <v>5300</v>
      </c>
      <c r="C252" s="251" t="s">
        <v>12</v>
      </c>
      <c r="D252" s="257"/>
      <c r="E252" s="255"/>
      <c r="F252" s="379" t="s">
        <v>661</v>
      </c>
      <c r="G252" s="99"/>
      <c r="H252" s="550" t="s">
        <v>661</v>
      </c>
      <c r="I252" s="549"/>
      <c r="J252" s="265"/>
      <c r="K252" s="256"/>
      <c r="L252" s="257"/>
      <c r="M252" s="255"/>
      <c r="N252" s="258"/>
      <c r="O252" s="256"/>
      <c r="P252" s="257"/>
      <c r="Q252" s="255"/>
      <c r="R252" s="258"/>
      <c r="S252" s="256"/>
      <c r="T252" s="390"/>
      <c r="U252" s="266"/>
      <c r="V252" s="428"/>
      <c r="W252" s="82"/>
      <c r="Z252" s="697"/>
      <c r="AA252" s="698"/>
    </row>
    <row r="253" spans="1:27" ht="45" customHeight="1" x14ac:dyDescent="0.2">
      <c r="A253" s="421"/>
      <c r="B253" s="311" t="s">
        <v>455</v>
      </c>
      <c r="C253" s="279" t="s">
        <v>31</v>
      </c>
      <c r="D253" s="748"/>
      <c r="E253" s="749"/>
      <c r="F253" s="748"/>
      <c r="G253" s="749"/>
      <c r="H253" s="748"/>
      <c r="I253" s="749"/>
      <c r="J253" s="748"/>
      <c r="K253" s="749"/>
      <c r="L253" s="748"/>
      <c r="M253" s="749"/>
      <c r="N253" s="748"/>
      <c r="O253" s="749"/>
      <c r="P253" s="748"/>
      <c r="Q253" s="749"/>
      <c r="R253" s="748"/>
      <c r="S253" s="749"/>
      <c r="T253" s="69"/>
      <c r="U253" s="70">
        <f>IF(OR(D253="s",F253="s",H253="s",J253="s",L253="s",N253="s",P253="s",R253="s"), 0, IF(OR(D253="a",F253="a",H253="a",J253="a",L253="a",N253="a",P253="a",R253="a"),V253,0))</f>
        <v>0</v>
      </c>
      <c r="V253" s="420">
        <v>20</v>
      </c>
      <c r="W253" s="82">
        <f>COUNTIF(D253:S253,"a")+COUNTIF(D253:S253,"s")</f>
        <v>0</v>
      </c>
      <c r="X253" s="717"/>
      <c r="Z253" s="697"/>
      <c r="AA253" s="698"/>
    </row>
    <row r="254" spans="1:27" ht="27.95" customHeight="1" x14ac:dyDescent="0.2">
      <c r="A254" s="421"/>
      <c r="B254" s="313" t="s">
        <v>797</v>
      </c>
      <c r="C254" s="281" t="s">
        <v>798</v>
      </c>
      <c r="D254" s="742"/>
      <c r="E254" s="743"/>
      <c r="F254" s="742"/>
      <c r="G254" s="743"/>
      <c r="H254" s="742"/>
      <c r="I254" s="743"/>
      <c r="J254" s="742"/>
      <c r="K254" s="743"/>
      <c r="L254" s="742"/>
      <c r="M254" s="743"/>
      <c r="N254" s="742"/>
      <c r="O254" s="743"/>
      <c r="P254" s="742"/>
      <c r="Q254" s="743"/>
      <c r="R254" s="742"/>
      <c r="S254" s="743"/>
      <c r="T254" s="69"/>
      <c r="U254" s="67">
        <f t="shared" ref="U254:U259" si="43">IF(OR(D254="s",F254="s",H254="s",J254="s",L254="s",N254="s",P254="s",R254="s"), 0, IF(OR(D254="a",F254="a",H254="a",J254="a",L254="a",N254="a",P254="a",R254="a"),V254,0))</f>
        <v>0</v>
      </c>
      <c r="V254" s="420">
        <v>10</v>
      </c>
      <c r="W254" s="82">
        <f t="shared" ref="W254:W259" si="44">COUNTIF(D254:S254,"a")+COUNTIF(D254:S254,"s")</f>
        <v>0</v>
      </c>
      <c r="X254" s="717"/>
      <c r="Z254" s="697"/>
      <c r="AA254" s="698"/>
    </row>
    <row r="255" spans="1:27" s="703" customFormat="1" ht="27.95" customHeight="1" x14ac:dyDescent="0.2">
      <c r="A255" s="421"/>
      <c r="B255" s="313" t="s">
        <v>799</v>
      </c>
      <c r="C255" s="281" t="s">
        <v>343</v>
      </c>
      <c r="D255" s="742"/>
      <c r="E255" s="743"/>
      <c r="F255" s="742"/>
      <c r="G255" s="743"/>
      <c r="H255" s="742"/>
      <c r="I255" s="743"/>
      <c r="J255" s="742"/>
      <c r="K255" s="743"/>
      <c r="L255" s="742"/>
      <c r="M255" s="743"/>
      <c r="N255" s="742"/>
      <c r="O255" s="743"/>
      <c r="P255" s="742"/>
      <c r="Q255" s="743"/>
      <c r="R255" s="742"/>
      <c r="S255" s="743"/>
      <c r="T255" s="69"/>
      <c r="U255" s="67">
        <f t="shared" si="43"/>
        <v>0</v>
      </c>
      <c r="V255" s="417">
        <v>10</v>
      </c>
      <c r="W255" s="82">
        <f t="shared" si="44"/>
        <v>0</v>
      </c>
      <c r="X255" s="717"/>
      <c r="Y255" s="696"/>
      <c r="Z255" s="697"/>
      <c r="AA255" s="698"/>
    </row>
    <row r="256" spans="1:27" s="703" customFormat="1" ht="27.95" customHeight="1" x14ac:dyDescent="0.2">
      <c r="A256" s="421"/>
      <c r="B256" s="313" t="s">
        <v>800</v>
      </c>
      <c r="C256" s="281" t="s">
        <v>243</v>
      </c>
      <c r="D256" s="742"/>
      <c r="E256" s="743"/>
      <c r="F256" s="742"/>
      <c r="G256" s="743"/>
      <c r="H256" s="742"/>
      <c r="I256" s="743"/>
      <c r="J256" s="742"/>
      <c r="K256" s="743"/>
      <c r="L256" s="742"/>
      <c r="M256" s="743"/>
      <c r="N256" s="742"/>
      <c r="O256" s="743"/>
      <c r="P256" s="742"/>
      <c r="Q256" s="743"/>
      <c r="R256" s="742"/>
      <c r="S256" s="743"/>
      <c r="T256" s="69"/>
      <c r="U256" s="67">
        <f t="shared" si="43"/>
        <v>0</v>
      </c>
      <c r="V256" s="417">
        <v>40</v>
      </c>
      <c r="W256" s="82">
        <f t="shared" si="44"/>
        <v>0</v>
      </c>
      <c r="X256" s="717"/>
      <c r="Y256" s="696"/>
      <c r="Z256" s="697"/>
      <c r="AA256" s="698"/>
    </row>
    <row r="257" spans="1:27" s="703" customFormat="1" ht="27.95" customHeight="1" x14ac:dyDescent="0.2">
      <c r="A257" s="421"/>
      <c r="B257" s="313" t="s">
        <v>801</v>
      </c>
      <c r="C257" s="281" t="s">
        <v>474</v>
      </c>
      <c r="D257" s="742"/>
      <c r="E257" s="743"/>
      <c r="F257" s="742"/>
      <c r="G257" s="743"/>
      <c r="H257" s="742"/>
      <c r="I257" s="743"/>
      <c r="J257" s="742"/>
      <c r="K257" s="743"/>
      <c r="L257" s="742"/>
      <c r="M257" s="743"/>
      <c r="N257" s="742"/>
      <c r="O257" s="743"/>
      <c r="P257" s="742"/>
      <c r="Q257" s="743"/>
      <c r="R257" s="742"/>
      <c r="S257" s="743"/>
      <c r="T257" s="69"/>
      <c r="U257" s="67">
        <f t="shared" si="43"/>
        <v>0</v>
      </c>
      <c r="V257" s="417">
        <v>10</v>
      </c>
      <c r="W257" s="82">
        <f t="shared" si="44"/>
        <v>0</v>
      </c>
      <c r="X257" s="717"/>
      <c r="Y257" s="696"/>
      <c r="Z257" s="697"/>
      <c r="AA257" s="698"/>
    </row>
    <row r="258" spans="1:27" s="703" customFormat="1" ht="27.95" customHeight="1" x14ac:dyDescent="0.2">
      <c r="A258" s="421"/>
      <c r="B258" s="313" t="s">
        <v>427</v>
      </c>
      <c r="C258" s="281" t="s">
        <v>327</v>
      </c>
      <c r="D258" s="742"/>
      <c r="E258" s="743"/>
      <c r="F258" s="742"/>
      <c r="G258" s="743"/>
      <c r="H258" s="742"/>
      <c r="I258" s="743"/>
      <c r="J258" s="742"/>
      <c r="K258" s="743"/>
      <c r="L258" s="742"/>
      <c r="M258" s="743"/>
      <c r="N258" s="742"/>
      <c r="O258" s="743"/>
      <c r="P258" s="742"/>
      <c r="Q258" s="743"/>
      <c r="R258" s="742"/>
      <c r="S258" s="743"/>
      <c r="T258" s="69"/>
      <c r="U258" s="67">
        <f t="shared" si="43"/>
        <v>0</v>
      </c>
      <c r="V258" s="417">
        <v>10</v>
      </c>
      <c r="W258" s="82">
        <f t="shared" si="44"/>
        <v>0</v>
      </c>
      <c r="X258" s="717"/>
      <c r="Y258" s="696"/>
      <c r="Z258" s="697"/>
      <c r="AA258" s="698"/>
    </row>
    <row r="259" spans="1:27" ht="27.95" customHeight="1" thickBot="1" x14ac:dyDescent="0.25">
      <c r="A259" s="421"/>
      <c r="B259" s="313" t="s">
        <v>428</v>
      </c>
      <c r="C259" s="281" t="s">
        <v>984</v>
      </c>
      <c r="D259" s="751"/>
      <c r="E259" s="752"/>
      <c r="F259" s="751"/>
      <c r="G259" s="752"/>
      <c r="H259" s="751"/>
      <c r="I259" s="752"/>
      <c r="J259" s="751"/>
      <c r="K259" s="752"/>
      <c r="L259" s="751"/>
      <c r="M259" s="752"/>
      <c r="N259" s="751"/>
      <c r="O259" s="752"/>
      <c r="P259" s="751"/>
      <c r="Q259" s="752"/>
      <c r="R259" s="751"/>
      <c r="S259" s="752"/>
      <c r="T259" s="69"/>
      <c r="U259" s="71">
        <f t="shared" si="43"/>
        <v>0</v>
      </c>
      <c r="V259" s="431">
        <v>20</v>
      </c>
      <c r="W259" s="82">
        <f t="shared" si="44"/>
        <v>0</v>
      </c>
      <c r="X259" s="717"/>
      <c r="Z259" s="697"/>
      <c r="AA259" s="698"/>
    </row>
    <row r="260" spans="1:27" ht="21" customHeight="1" thickTop="1" thickBot="1" x14ac:dyDescent="0.25">
      <c r="A260" s="421"/>
      <c r="B260" s="13"/>
      <c r="C260" s="177"/>
      <c r="D260" s="750" t="s">
        <v>662</v>
      </c>
      <c r="E260" s="779"/>
      <c r="F260" s="779"/>
      <c r="G260" s="779"/>
      <c r="H260" s="779"/>
      <c r="I260" s="779"/>
      <c r="J260" s="779"/>
      <c r="K260" s="779"/>
      <c r="L260" s="779"/>
      <c r="M260" s="779"/>
      <c r="N260" s="779"/>
      <c r="O260" s="779"/>
      <c r="P260" s="779"/>
      <c r="Q260" s="779"/>
      <c r="R260" s="779"/>
      <c r="S260" s="779"/>
      <c r="T260" s="780"/>
      <c r="U260" s="2">
        <f>SUM(U253:U259)</f>
        <v>0</v>
      </c>
      <c r="V260" s="425">
        <f>SUM(V253:V259)</f>
        <v>120</v>
      </c>
      <c r="W260" s="82"/>
      <c r="X260" s="721"/>
      <c r="Z260" s="697"/>
      <c r="AA260" s="698"/>
    </row>
    <row r="261" spans="1:27" ht="21" customHeight="1" thickBot="1" x14ac:dyDescent="0.25">
      <c r="A261" s="411"/>
      <c r="B261" s="262"/>
      <c r="C261" s="268"/>
      <c r="D261" s="945"/>
      <c r="E261" s="741"/>
      <c r="F261" s="1026">
        <v>0</v>
      </c>
      <c r="G261" s="746"/>
      <c r="H261" s="746"/>
      <c r="I261" s="746"/>
      <c r="J261" s="746"/>
      <c r="K261" s="746"/>
      <c r="L261" s="746"/>
      <c r="M261" s="746"/>
      <c r="N261" s="746"/>
      <c r="O261" s="746"/>
      <c r="P261" s="746"/>
      <c r="Q261" s="746"/>
      <c r="R261" s="746"/>
      <c r="S261" s="746"/>
      <c r="T261" s="746"/>
      <c r="U261" s="746"/>
      <c r="V261" s="747"/>
      <c r="W261" s="82"/>
      <c r="AA261" s="698"/>
    </row>
    <row r="262" spans="1:27" ht="30" customHeight="1" thickBot="1" x14ac:dyDescent="0.25">
      <c r="A262" s="408"/>
      <c r="B262" s="339" t="s">
        <v>1428</v>
      </c>
      <c r="C262" s="251" t="s">
        <v>909</v>
      </c>
      <c r="D262" s="550"/>
      <c r="E262" s="549"/>
      <c r="F262" s="379"/>
      <c r="G262" s="99"/>
      <c r="H262" s="550"/>
      <c r="I262" s="549"/>
      <c r="J262" s="379"/>
      <c r="K262" s="99"/>
      <c r="L262" s="550" t="s">
        <v>661</v>
      </c>
      <c r="M262" s="549"/>
      <c r="N262" s="379"/>
      <c r="O262" s="99"/>
      <c r="P262" s="550"/>
      <c r="Q262" s="549"/>
      <c r="R262" s="379"/>
      <c r="S262" s="99"/>
      <c r="T262" s="557"/>
      <c r="U262" s="558"/>
      <c r="V262" s="558"/>
      <c r="W262" s="82"/>
      <c r="X262" s="722"/>
      <c r="AA262" s="698"/>
    </row>
    <row r="263" spans="1:27" ht="30" customHeight="1" x14ac:dyDescent="0.2">
      <c r="A263" s="408"/>
      <c r="B263" s="573"/>
      <c r="C263" s="574" t="s">
        <v>1400</v>
      </c>
      <c r="D263" s="952"/>
      <c r="E263" s="953"/>
      <c r="F263" s="953"/>
      <c r="G263" s="953"/>
      <c r="H263" s="953"/>
      <c r="I263" s="953"/>
      <c r="J263" s="953"/>
      <c r="K263" s="953"/>
      <c r="L263" s="953"/>
      <c r="M263" s="953"/>
      <c r="N263" s="953"/>
      <c r="O263" s="953"/>
      <c r="P263" s="953"/>
      <c r="Q263" s="953"/>
      <c r="R263" s="953"/>
      <c r="S263" s="953"/>
      <c r="T263" s="953"/>
      <c r="U263" s="953"/>
      <c r="V263" s="954"/>
      <c r="W263" s="298"/>
      <c r="X263" s="723"/>
      <c r="AA263" s="698"/>
    </row>
    <row r="264" spans="1:27" ht="45" customHeight="1" x14ac:dyDescent="0.2">
      <c r="A264" s="429"/>
      <c r="B264" s="310" t="s">
        <v>1399</v>
      </c>
      <c r="C264" s="567" t="s">
        <v>1429</v>
      </c>
      <c r="D264" s="753"/>
      <c r="E264" s="754"/>
      <c r="F264" s="753"/>
      <c r="G264" s="754"/>
      <c r="H264" s="753"/>
      <c r="I264" s="754"/>
      <c r="J264" s="753"/>
      <c r="K264" s="754"/>
      <c r="L264" s="753"/>
      <c r="M264" s="754"/>
      <c r="N264" s="753"/>
      <c r="O264" s="754"/>
      <c r="P264" s="753"/>
      <c r="Q264" s="754"/>
      <c r="R264" s="753"/>
      <c r="S264" s="754"/>
      <c r="T264" s="628"/>
      <c r="U264" s="533">
        <f>IF(OR(D264="s",F264="s",H264="s",J264="s",L264="s",N264="s",P264="s",R264="s"), 0, IF(OR(D264="a",F264="a",H264="a",J264="a",L264="a",N264="a",P264="a",R264="a"),V264,0))</f>
        <v>0</v>
      </c>
      <c r="V264" s="566">
        <f>IF(T264="na",0,10)</f>
        <v>10</v>
      </c>
      <c r="W264" s="82">
        <f>COUNTIF(D264:S264,"a")+COUNTIF(D264:S264,"s")+COUNTIF(T264,"na")</f>
        <v>0</v>
      </c>
      <c r="X264" s="720"/>
      <c r="AA264" s="698"/>
    </row>
    <row r="265" spans="1:27" ht="30" customHeight="1" x14ac:dyDescent="0.2">
      <c r="A265" s="429"/>
      <c r="B265" s="80"/>
      <c r="C265" s="404" t="s">
        <v>1401</v>
      </c>
      <c r="D265" s="990"/>
      <c r="E265" s="991"/>
      <c r="F265" s="991"/>
      <c r="G265" s="991"/>
      <c r="H265" s="991"/>
      <c r="I265" s="991"/>
      <c r="J265" s="991"/>
      <c r="K265" s="991"/>
      <c r="L265" s="991"/>
      <c r="M265" s="991"/>
      <c r="N265" s="991"/>
      <c r="O265" s="991"/>
      <c r="P265" s="991"/>
      <c r="Q265" s="991"/>
      <c r="R265" s="991"/>
      <c r="S265" s="991"/>
      <c r="T265" s="991"/>
      <c r="U265" s="991"/>
      <c r="V265" s="992"/>
      <c r="W265" s="82"/>
      <c r="X265" s="722"/>
      <c r="AA265" s="698"/>
    </row>
    <row r="266" spans="1:27" ht="30" customHeight="1" x14ac:dyDescent="0.2">
      <c r="A266" s="429"/>
      <c r="B266" s="80"/>
      <c r="C266" s="404" t="s">
        <v>1434</v>
      </c>
      <c r="D266" s="990"/>
      <c r="E266" s="991"/>
      <c r="F266" s="991"/>
      <c r="G266" s="991"/>
      <c r="H266" s="991"/>
      <c r="I266" s="991"/>
      <c r="J266" s="991"/>
      <c r="K266" s="991"/>
      <c r="L266" s="991"/>
      <c r="M266" s="991"/>
      <c r="N266" s="991"/>
      <c r="O266" s="991"/>
      <c r="P266" s="991"/>
      <c r="Q266" s="991"/>
      <c r="R266" s="991"/>
      <c r="S266" s="991"/>
      <c r="T266" s="991"/>
      <c r="U266" s="991"/>
      <c r="V266" s="992"/>
      <c r="W266" s="82"/>
      <c r="X266" s="722"/>
      <c r="AA266" s="698"/>
    </row>
    <row r="267" spans="1:27" ht="27.95" customHeight="1" x14ac:dyDescent="0.2">
      <c r="A267" s="429"/>
      <c r="B267" s="319" t="s">
        <v>1430</v>
      </c>
      <c r="C267" s="152" t="s">
        <v>1432</v>
      </c>
      <c r="D267" s="744"/>
      <c r="E267" s="745"/>
      <c r="F267" s="744"/>
      <c r="G267" s="745"/>
      <c r="H267" s="744"/>
      <c r="I267" s="745"/>
      <c r="J267" s="744"/>
      <c r="K267" s="745"/>
      <c r="L267" s="744"/>
      <c r="M267" s="745"/>
      <c r="N267" s="744"/>
      <c r="O267" s="745"/>
      <c r="P267" s="744"/>
      <c r="Q267" s="745"/>
      <c r="R267" s="744"/>
      <c r="S267" s="745"/>
      <c r="T267" s="113" t="str">
        <f>IF(OR('NOx Data Sheet'!G12="5410.13 - 5410.18",T264="na",'NOx Data Sheet'!G9="STEAM TURBINE",'NOx Data Sheet'!G9="GAS TURBINE",'NOx Data Sheet'!G9="DIESEL-ELECTRIC"),"na", "")</f>
        <v/>
      </c>
      <c r="U267" s="71">
        <f t="shared" ref="U267:U270" si="45">IF(OR(D267="s",F267="s",H267="s",J267="s",L267="s",N267="s",P267="s",R267="s"), 0, IF(OR(D267="a",F267="a",H267="a",J267="a",L267="a",N267="a",P267="a",R267="a"),V267,0))</f>
        <v>0</v>
      </c>
      <c r="V267" s="415">
        <f>IF(T267="na",0,10)</f>
        <v>10</v>
      </c>
      <c r="W267" s="82">
        <f>COUNTIF(D267:S267,"a")+COUNTIF(D267:S267,"s")+COUNTIF(T267,"na")</f>
        <v>0</v>
      </c>
      <c r="X267" s="720"/>
      <c r="AA267" s="698"/>
    </row>
    <row r="268" spans="1:27" ht="27.95" customHeight="1" x14ac:dyDescent="0.2">
      <c r="A268" s="429"/>
      <c r="B268" s="319" t="s">
        <v>1431</v>
      </c>
      <c r="C268" s="571" t="s">
        <v>1433</v>
      </c>
      <c r="D268" s="764"/>
      <c r="E268" s="765"/>
      <c r="F268" s="764"/>
      <c r="G268" s="765"/>
      <c r="H268" s="764"/>
      <c r="I268" s="765"/>
      <c r="J268" s="764"/>
      <c r="K268" s="765"/>
      <c r="L268" s="764"/>
      <c r="M268" s="765"/>
      <c r="N268" s="764"/>
      <c r="O268" s="765"/>
      <c r="P268" s="764"/>
      <c r="Q268" s="765"/>
      <c r="R268" s="764"/>
      <c r="S268" s="765"/>
      <c r="T268" s="576" t="str">
        <f>IF(OR('NOx Data Sheet'!G12="5410.13 - 5410.18",T264="na",'NOx Data Sheet'!G10="STEAM TURBINE",'NOx Data Sheet'!G10="GAS TURBINE",'NOx Data Sheet'!G9="DIESEL-ELECTRIC"),"na", "")</f>
        <v/>
      </c>
      <c r="U268" s="107">
        <f t="shared" si="45"/>
        <v>0</v>
      </c>
      <c r="V268" s="566">
        <f>IF(T268="na",0,10)</f>
        <v>10</v>
      </c>
      <c r="W268" s="82">
        <f>COUNTIF(D268:S268,"a")+COUNTIF(D268:S268,"s")+COUNTIF(T268,"na")</f>
        <v>0</v>
      </c>
      <c r="X268" s="720"/>
      <c r="AA268" s="698"/>
    </row>
    <row r="269" spans="1:27" ht="30" customHeight="1" x14ac:dyDescent="0.2">
      <c r="A269" s="429"/>
      <c r="B269" s="80"/>
      <c r="C269" s="404" t="s">
        <v>1435</v>
      </c>
      <c r="D269" s="990"/>
      <c r="E269" s="991"/>
      <c r="F269" s="991"/>
      <c r="G269" s="991"/>
      <c r="H269" s="991"/>
      <c r="I269" s="991"/>
      <c r="J269" s="991"/>
      <c r="K269" s="991"/>
      <c r="L269" s="991"/>
      <c r="M269" s="991"/>
      <c r="N269" s="991"/>
      <c r="O269" s="991"/>
      <c r="P269" s="991"/>
      <c r="Q269" s="991"/>
      <c r="R269" s="991"/>
      <c r="S269" s="991"/>
      <c r="T269" s="991"/>
      <c r="U269" s="991"/>
      <c r="V269" s="992"/>
      <c r="W269" s="82"/>
      <c r="X269" s="722"/>
      <c r="AA269" s="698"/>
    </row>
    <row r="270" spans="1:27" ht="27.95" customHeight="1" x14ac:dyDescent="0.2">
      <c r="A270" s="429"/>
      <c r="B270" s="319" t="s">
        <v>1436</v>
      </c>
      <c r="C270" s="567" t="s">
        <v>1447</v>
      </c>
      <c r="D270" s="744"/>
      <c r="E270" s="745"/>
      <c r="F270" s="744"/>
      <c r="G270" s="745"/>
      <c r="H270" s="744"/>
      <c r="I270" s="745"/>
      <c r="J270" s="744"/>
      <c r="K270" s="745"/>
      <c r="L270" s="744"/>
      <c r="M270" s="745"/>
      <c r="N270" s="744"/>
      <c r="O270" s="745"/>
      <c r="P270" s="744"/>
      <c r="Q270" s="745"/>
      <c r="R270" s="744"/>
      <c r="S270" s="745"/>
      <c r="T270" s="113" t="str">
        <f>IF(OR('NOx Data Sheet'!G12="5410.11 - 5410.12",T264="na",'NOx Data Sheet'!G9="STEAM TURBINE",'NOx Data Sheet'!G9="GAS TURBINE",'NOx Data Sheet'!G9="DIESEL-ELECTRIC"),"na","")</f>
        <v/>
      </c>
      <c r="U270" s="71">
        <f t="shared" si="45"/>
        <v>0</v>
      </c>
      <c r="V270" s="415">
        <f>IF(T270="na",0,5)</f>
        <v>5</v>
      </c>
      <c r="W270" s="82">
        <f>IF(OR(COUNTIF(D271:S272,"a")+COUNTIF(D271:S272,"s")+COUNTIF(T271:T272,"na")&gt;0),0,(COUNTIF(D270:S270,"a")+COUNTIF(D270:S270,"s")+COUNTIF(T270,"na")))</f>
        <v>0</v>
      </c>
      <c r="X270" s="720"/>
      <c r="AA270" s="698"/>
    </row>
    <row r="271" spans="1:27" ht="45" customHeight="1" x14ac:dyDescent="0.2">
      <c r="A271" s="429"/>
      <c r="B271" s="319" t="s">
        <v>1437</v>
      </c>
      <c r="C271" s="570" t="s">
        <v>1449</v>
      </c>
      <c r="D271" s="742"/>
      <c r="E271" s="743"/>
      <c r="F271" s="742"/>
      <c r="G271" s="743"/>
      <c r="H271" s="742"/>
      <c r="I271" s="743"/>
      <c r="J271" s="742"/>
      <c r="K271" s="743"/>
      <c r="L271" s="742"/>
      <c r="M271" s="743"/>
      <c r="N271" s="742"/>
      <c r="O271" s="743"/>
      <c r="P271" s="742"/>
      <c r="Q271" s="743"/>
      <c r="R271" s="742"/>
      <c r="S271" s="743"/>
      <c r="T271" s="79"/>
      <c r="U271" s="579">
        <f t="shared" ref="U271" si="46">IF(OR(D271="s",F271="s",H271="s",J271="s",L271="s",N271="s",P271="s",R271="s"), 0, IF(OR(D271="a",F271="a",H271="a",J271="a",L271="a",N271="a",P271="a",R271="a"),V271,0))</f>
        <v>0</v>
      </c>
      <c r="V271" s="416">
        <f>IF(T270="na",0,10)</f>
        <v>10</v>
      </c>
      <c r="W271" s="82">
        <f>IF(OR(COUNTIF(D270:S270,"a")+COUNTIF(D270:S270,"s")+COUNTIF(T270:T270,"na")+COUNTIF(D272:S272,"a")+COUNTIF(D272:S272,"s")+COUNTIF(T272:T272,"na")&gt;0),0,(COUNTIF(D271:S271,"a")+COUNTIF(D271:S271,"s")+COUNTIF(T271,"na")))</f>
        <v>0</v>
      </c>
      <c r="X271" s="720"/>
      <c r="AA271" s="698"/>
    </row>
    <row r="272" spans="1:27" ht="45" customHeight="1" x14ac:dyDescent="0.2">
      <c r="A272" s="429"/>
      <c r="B272" s="319" t="s">
        <v>1438</v>
      </c>
      <c r="C272" s="570" t="s">
        <v>1450</v>
      </c>
      <c r="D272" s="742"/>
      <c r="E272" s="743"/>
      <c r="F272" s="742"/>
      <c r="G272" s="743"/>
      <c r="H272" s="742"/>
      <c r="I272" s="743"/>
      <c r="J272" s="742"/>
      <c r="K272" s="743"/>
      <c r="L272" s="742"/>
      <c r="M272" s="743"/>
      <c r="N272" s="742"/>
      <c r="O272" s="743"/>
      <c r="P272" s="742"/>
      <c r="Q272" s="743"/>
      <c r="R272" s="742"/>
      <c r="S272" s="743"/>
      <c r="T272" s="79"/>
      <c r="U272" s="579">
        <f t="shared" ref="U272:U274" si="47">IF(OR(D272="s",F272="s",H272="s",J272="s",L272="s",N272="s",P272="s",R272="s"), 0, IF(OR(D272="a",F272="a",H272="a",J272="a",L272="a",N272="a",P272="a",R272="a"),V272,0))</f>
        <v>0</v>
      </c>
      <c r="V272" s="416">
        <f>IF(T270="na",0,15)</f>
        <v>15</v>
      </c>
      <c r="W272" s="82">
        <f>IF(OR(COUNTIF(D270:S271,"a")+COUNTIF(D270:S271,"s")+COUNTIF(T270:T271,"na")&gt;0),0,(COUNTIF(D272:S272,"a")+COUNTIF(D272:S272,"s")+COUNTIF(T272,"na")))</f>
        <v>0</v>
      </c>
      <c r="X272" s="720"/>
      <c r="AA272" s="698"/>
    </row>
    <row r="273" spans="1:27" ht="27.95" customHeight="1" x14ac:dyDescent="0.2">
      <c r="A273" s="429"/>
      <c r="B273" s="319" t="s">
        <v>1439</v>
      </c>
      <c r="C273" s="571" t="s">
        <v>1448</v>
      </c>
      <c r="D273" s="742"/>
      <c r="E273" s="743"/>
      <c r="F273" s="742"/>
      <c r="G273" s="743"/>
      <c r="H273" s="742"/>
      <c r="I273" s="743"/>
      <c r="J273" s="742"/>
      <c r="K273" s="743"/>
      <c r="L273" s="742"/>
      <c r="M273" s="743"/>
      <c r="N273" s="742"/>
      <c r="O273" s="743"/>
      <c r="P273" s="742"/>
      <c r="Q273" s="743"/>
      <c r="R273" s="742"/>
      <c r="S273" s="743"/>
      <c r="T273" s="410" t="str">
        <f>IF(OR('NOx Data Sheet'!G12="5410.11 - 5410.12",T264="na",'NOx Data Sheet'!G10="STEAM TURBINE",'NOx Data Sheet'!G10="GAS TURBINE",'NOx Data Sheet'!G9="DIESEL-ELECTRIC"),"na", "")</f>
        <v/>
      </c>
      <c r="U273" s="67">
        <f t="shared" si="47"/>
        <v>0</v>
      </c>
      <c r="V273" s="416">
        <f>IF(T273="na",0,5)</f>
        <v>5</v>
      </c>
      <c r="W273" s="82">
        <f>IF(OR(COUNTIF(D274:S275,"a")+COUNTIF(D274:S275,"s")+COUNTIF(T274:T275,"na")&gt;0),0,(COUNTIF(D273:S273,"a")+COUNTIF(D273:S273,"s")+COUNTIF(T273,"na")))</f>
        <v>0</v>
      </c>
      <c r="X273" s="720"/>
      <c r="AA273" s="698"/>
    </row>
    <row r="274" spans="1:27" ht="45" customHeight="1" x14ac:dyDescent="0.2">
      <c r="A274" s="429"/>
      <c r="B274" s="319" t="s">
        <v>1440</v>
      </c>
      <c r="C274" s="570" t="s">
        <v>1451</v>
      </c>
      <c r="D274" s="742"/>
      <c r="E274" s="743"/>
      <c r="F274" s="742"/>
      <c r="G274" s="743"/>
      <c r="H274" s="742"/>
      <c r="I274" s="743"/>
      <c r="J274" s="742"/>
      <c r="K274" s="743"/>
      <c r="L274" s="742"/>
      <c r="M274" s="743"/>
      <c r="N274" s="742"/>
      <c r="O274" s="743"/>
      <c r="P274" s="742"/>
      <c r="Q274" s="743"/>
      <c r="R274" s="742"/>
      <c r="S274" s="743"/>
      <c r="T274" s="79"/>
      <c r="U274" s="579">
        <f t="shared" si="47"/>
        <v>0</v>
      </c>
      <c r="V274" s="416">
        <f>IF(T273="na",0,10)</f>
        <v>10</v>
      </c>
      <c r="W274" s="82">
        <f>IF(OR(COUNTIF(D273:S273,"a")+COUNTIF(D273:S273,"s")+COUNTIF(T273:T273,"na")+COUNTIF(D275:S275,"a")+COUNTIF(D275:S275,"s")+COUNTIF(T275:T275,"na")&gt;0),0,(COUNTIF(D274:S274,"a")+COUNTIF(D274:S274,"s")+COUNTIF(T274,"na")))</f>
        <v>0</v>
      </c>
      <c r="X274" s="720"/>
      <c r="AA274" s="698"/>
    </row>
    <row r="275" spans="1:27" ht="45" customHeight="1" x14ac:dyDescent="0.2">
      <c r="A275" s="429"/>
      <c r="B275" s="319" t="s">
        <v>1441</v>
      </c>
      <c r="C275" s="570" t="s">
        <v>1452</v>
      </c>
      <c r="D275" s="764"/>
      <c r="E275" s="765"/>
      <c r="F275" s="764"/>
      <c r="G275" s="765"/>
      <c r="H275" s="764"/>
      <c r="I275" s="765"/>
      <c r="J275" s="764"/>
      <c r="K275" s="765"/>
      <c r="L275" s="764"/>
      <c r="M275" s="765"/>
      <c r="N275" s="764"/>
      <c r="O275" s="765"/>
      <c r="P275" s="764"/>
      <c r="Q275" s="765"/>
      <c r="R275" s="764"/>
      <c r="S275" s="765"/>
      <c r="T275" s="657"/>
      <c r="U275" s="580">
        <f t="shared" ref="U275" si="48">IF(OR(D275="s",F275="s",H275="s",J275="s",L275="s",N275="s",P275="s",R275="s"), 0, IF(OR(D275="a",F275="a",H275="a",J275="a",L275="a",N275="a",P275="a",R275="a"),V275,0))</f>
        <v>0</v>
      </c>
      <c r="V275" s="456">
        <f>IF(T273="na",0,15)</f>
        <v>15</v>
      </c>
      <c r="W275" s="82">
        <f>IF(OR(COUNTIF(D273:S274,"a")+COUNTIF(D273:S274,"s")+COUNTIF(T273:T274,"na")&gt;0),0,(COUNTIF(D275:S275,"a")+COUNTIF(D275:S275,"s")+COUNTIF(T275,"na")))</f>
        <v>0</v>
      </c>
      <c r="X275" s="720"/>
      <c r="AA275" s="698"/>
    </row>
    <row r="276" spans="1:27" ht="30" customHeight="1" x14ac:dyDescent="0.2">
      <c r="A276" s="429"/>
      <c r="B276" s="80"/>
      <c r="C276" s="404" t="s">
        <v>1719</v>
      </c>
      <c r="D276" s="990"/>
      <c r="E276" s="991"/>
      <c r="F276" s="991"/>
      <c r="G276" s="991"/>
      <c r="H276" s="991"/>
      <c r="I276" s="991"/>
      <c r="J276" s="991"/>
      <c r="K276" s="991"/>
      <c r="L276" s="991"/>
      <c r="M276" s="991"/>
      <c r="N276" s="991"/>
      <c r="O276" s="991"/>
      <c r="P276" s="991"/>
      <c r="Q276" s="991"/>
      <c r="R276" s="991"/>
      <c r="S276" s="991"/>
      <c r="T276" s="991"/>
      <c r="U276" s="991"/>
      <c r="V276" s="992"/>
      <c r="W276" s="82"/>
      <c r="X276" s="722"/>
      <c r="AA276" s="698"/>
    </row>
    <row r="277" spans="1:27" ht="45" customHeight="1" x14ac:dyDescent="0.2">
      <c r="A277" s="429"/>
      <c r="B277" s="310" t="s">
        <v>1718</v>
      </c>
      <c r="C277" s="147" t="s">
        <v>1758</v>
      </c>
      <c r="D277" s="742"/>
      <c r="E277" s="743"/>
      <c r="F277" s="742"/>
      <c r="G277" s="743"/>
      <c r="H277" s="742"/>
      <c r="I277" s="743"/>
      <c r="J277" s="742"/>
      <c r="K277" s="743"/>
      <c r="L277" s="742"/>
      <c r="M277" s="743"/>
      <c r="N277" s="742"/>
      <c r="O277" s="743"/>
      <c r="P277" s="742"/>
      <c r="Q277" s="743"/>
      <c r="R277" s="742"/>
      <c r="S277" s="743"/>
      <c r="T277" s="410" t="str">
        <f>IF(T264="na","na","")</f>
        <v/>
      </c>
      <c r="U277" s="67">
        <f>IF(OR(D277="s",F277="s",H277="s",J277="s",L277="s",N277="s",P277="s",R277="s"), 0, IF(OR(D277="a",F277="a",H277="a",J277="a",L277="a",N277="a",P277="a",R277="a"),V277,0))</f>
        <v>0</v>
      </c>
      <c r="V277" s="416">
        <f>IF(COUNTIF(D277:S277,"s"),0, IF(T277="na",0, 30))</f>
        <v>30</v>
      </c>
      <c r="W277" s="82">
        <f>COUNTIF(D277:S277,"a")+COUNTIF(D277:S277,"s")+COUNTIF(T277,"na")</f>
        <v>0</v>
      </c>
      <c r="X277" s="720"/>
      <c r="Y277" s="699"/>
      <c r="Z277" s="697"/>
      <c r="AA277" s="698"/>
    </row>
    <row r="278" spans="1:27" ht="30" customHeight="1" x14ac:dyDescent="0.2">
      <c r="A278" s="429"/>
      <c r="B278" s="80"/>
      <c r="C278" s="404" t="s">
        <v>1403</v>
      </c>
      <c r="D278" s="990"/>
      <c r="E278" s="991"/>
      <c r="F278" s="991"/>
      <c r="G278" s="991"/>
      <c r="H278" s="991"/>
      <c r="I278" s="991"/>
      <c r="J278" s="991"/>
      <c r="K278" s="991"/>
      <c r="L278" s="991"/>
      <c r="M278" s="991"/>
      <c r="N278" s="991"/>
      <c r="O278" s="991"/>
      <c r="P278" s="991"/>
      <c r="Q278" s="991"/>
      <c r="R278" s="991"/>
      <c r="S278" s="991"/>
      <c r="T278" s="991"/>
      <c r="U278" s="991"/>
      <c r="V278" s="992"/>
      <c r="W278" s="82"/>
      <c r="X278" s="722"/>
      <c r="Y278" s="699"/>
      <c r="Z278" s="697"/>
      <c r="AA278" s="698"/>
    </row>
    <row r="279" spans="1:27" ht="30" customHeight="1" x14ac:dyDescent="0.2">
      <c r="A279" s="429"/>
      <c r="B279" s="80"/>
      <c r="C279" s="404" t="s">
        <v>1404</v>
      </c>
      <c r="D279" s="990"/>
      <c r="E279" s="991"/>
      <c r="F279" s="991"/>
      <c r="G279" s="991"/>
      <c r="H279" s="991"/>
      <c r="I279" s="991"/>
      <c r="J279" s="991"/>
      <c r="K279" s="991"/>
      <c r="L279" s="991"/>
      <c r="M279" s="991"/>
      <c r="N279" s="991"/>
      <c r="O279" s="991"/>
      <c r="P279" s="991"/>
      <c r="Q279" s="991"/>
      <c r="R279" s="991"/>
      <c r="S279" s="991"/>
      <c r="T279" s="991"/>
      <c r="U279" s="991"/>
      <c r="V279" s="992"/>
      <c r="W279" s="82"/>
      <c r="X279" s="722"/>
      <c r="Y279" s="699"/>
      <c r="Z279" s="697"/>
      <c r="AA279" s="698"/>
    </row>
    <row r="280" spans="1:27" ht="67.7" customHeight="1" x14ac:dyDescent="0.2">
      <c r="A280" s="429"/>
      <c r="B280" s="319" t="s">
        <v>1405</v>
      </c>
      <c r="C280" s="152" t="s">
        <v>1442</v>
      </c>
      <c r="D280" s="744"/>
      <c r="E280" s="745"/>
      <c r="F280" s="744"/>
      <c r="G280" s="745"/>
      <c r="H280" s="744"/>
      <c r="I280" s="745"/>
      <c r="J280" s="744"/>
      <c r="K280" s="745"/>
      <c r="L280" s="744"/>
      <c r="M280" s="745"/>
      <c r="N280" s="744"/>
      <c r="O280" s="745"/>
      <c r="P280" s="744"/>
      <c r="Q280" s="745"/>
      <c r="R280" s="744"/>
      <c r="S280" s="745"/>
      <c r="T280" s="112"/>
      <c r="U280" s="71">
        <f t="shared" ref="U280" si="49">IF(OR(D280="s",F280="s",H280="s",J280="s",L280="s",N280="s",P280="s",R280="s"), 0, IF(OR(D280="a",F280="a",H280="a",J280="a",L280="a",N280="a",P280="a",R280="a"),V280,0))</f>
        <v>0</v>
      </c>
      <c r="V280" s="415">
        <f>IF(T280="na",0,10)</f>
        <v>10</v>
      </c>
      <c r="W280" s="82">
        <f>COUNTIF(D280:S280,"a")+COUNTIF(D280:S280,"s")+COUNTIF(T280,"na")</f>
        <v>0</v>
      </c>
      <c r="X280" s="720"/>
      <c r="Y280" s="699"/>
      <c r="Z280" s="697" t="s">
        <v>656</v>
      </c>
      <c r="AA280" s="698"/>
    </row>
    <row r="281" spans="1:27" ht="106.5" customHeight="1" x14ac:dyDescent="0.2">
      <c r="A281" s="429"/>
      <c r="B281" s="319" t="s">
        <v>1443</v>
      </c>
      <c r="C281" s="147" t="s">
        <v>1444</v>
      </c>
      <c r="D281" s="742"/>
      <c r="E281" s="743"/>
      <c r="F281" s="742"/>
      <c r="G281" s="743"/>
      <c r="H281" s="742"/>
      <c r="I281" s="743"/>
      <c r="J281" s="742"/>
      <c r="K281" s="743"/>
      <c r="L281" s="742"/>
      <c r="M281" s="743"/>
      <c r="N281" s="742"/>
      <c r="O281" s="743"/>
      <c r="P281" s="742"/>
      <c r="Q281" s="743"/>
      <c r="R281" s="742"/>
      <c r="S281" s="743"/>
      <c r="T281" s="111" t="str">
        <f>IF(T280="na","na","")</f>
        <v/>
      </c>
      <c r="U281" s="67">
        <f t="shared" ref="U281" si="50">IF(OR(D281="s",F281="s",H281="s",J281="s",L281="s",N281="s",P281="s",R281="s"), 0, IF(OR(D281="a",F281="a",H281="a",J281="a",L281="a",N281="a",P281="a",R281="a"),V281,0))</f>
        <v>0</v>
      </c>
      <c r="V281" s="415">
        <f>IF(T281="na",0,15)</f>
        <v>15</v>
      </c>
      <c r="W281" s="82">
        <f>COUNTIF(D281:S281,"a")+COUNTIF(D281:S281,"s")+COUNTIF(T281,"na")</f>
        <v>0</v>
      </c>
      <c r="X281" s="720"/>
      <c r="Y281" s="699"/>
      <c r="Z281" s="697"/>
      <c r="AA281" s="698"/>
    </row>
    <row r="282" spans="1:27" ht="48" customHeight="1" x14ac:dyDescent="0.2">
      <c r="A282" s="429"/>
      <c r="B282" s="319" t="s">
        <v>1406</v>
      </c>
      <c r="C282" s="571" t="s">
        <v>1445</v>
      </c>
      <c r="D282" s="764"/>
      <c r="E282" s="765"/>
      <c r="F282" s="764"/>
      <c r="G282" s="765"/>
      <c r="H282" s="764"/>
      <c r="I282" s="765"/>
      <c r="J282" s="764"/>
      <c r="K282" s="765"/>
      <c r="L282" s="764"/>
      <c r="M282" s="765"/>
      <c r="N282" s="764"/>
      <c r="O282" s="765"/>
      <c r="P282" s="764"/>
      <c r="Q282" s="765"/>
      <c r="R282" s="764"/>
      <c r="S282" s="765"/>
      <c r="T282" s="576" t="str">
        <f>IF(T280="na","na","")</f>
        <v/>
      </c>
      <c r="U282" s="107">
        <f t="shared" ref="U282" si="51">IF(OR(D282="s",F282="s",H282="s",J282="s",L282="s",N282="s",P282="s",R282="s"), 0, IF(OR(D282="a",F282="a",H282="a",J282="a",L282="a",N282="a",P282="a",R282="a"),V282,0))</f>
        <v>0</v>
      </c>
      <c r="V282" s="566">
        <f>IF(T282="na",0,5)</f>
        <v>5</v>
      </c>
      <c r="W282" s="82">
        <f>COUNTIF(D282:S282,"a")+COUNTIF(D282:S282,"s")+COUNTIF(T282,"na")</f>
        <v>0</v>
      </c>
      <c r="X282" s="720"/>
      <c r="Y282" s="699"/>
      <c r="Z282" s="697" t="s">
        <v>656</v>
      </c>
      <c r="AA282" s="698"/>
    </row>
    <row r="283" spans="1:27" ht="30" customHeight="1" x14ac:dyDescent="0.2">
      <c r="A283" s="429"/>
      <c r="B283" s="80"/>
      <c r="C283" s="404" t="s">
        <v>1408</v>
      </c>
      <c r="D283" s="990"/>
      <c r="E283" s="991"/>
      <c r="F283" s="991"/>
      <c r="G283" s="991"/>
      <c r="H283" s="991"/>
      <c r="I283" s="991"/>
      <c r="J283" s="991"/>
      <c r="K283" s="991"/>
      <c r="L283" s="991"/>
      <c r="M283" s="991"/>
      <c r="N283" s="991"/>
      <c r="O283" s="991"/>
      <c r="P283" s="991"/>
      <c r="Q283" s="991"/>
      <c r="R283" s="991"/>
      <c r="S283" s="991"/>
      <c r="T283" s="991"/>
      <c r="U283" s="991"/>
      <c r="V283" s="992"/>
      <c r="W283" s="82"/>
      <c r="X283" s="722"/>
      <c r="Y283" s="699"/>
      <c r="Z283" s="697"/>
      <c r="AA283" s="698"/>
    </row>
    <row r="284" spans="1:27" ht="45" customHeight="1" thickBot="1" x14ac:dyDescent="0.25">
      <c r="A284" s="429"/>
      <c r="B284" s="319" t="s">
        <v>1407</v>
      </c>
      <c r="C284" s="152" t="s">
        <v>1446</v>
      </c>
      <c r="D284" s="744"/>
      <c r="E284" s="745"/>
      <c r="F284" s="744"/>
      <c r="G284" s="745"/>
      <c r="H284" s="744"/>
      <c r="I284" s="745"/>
      <c r="J284" s="744"/>
      <c r="K284" s="745"/>
      <c r="L284" s="744"/>
      <c r="M284" s="745"/>
      <c r="N284" s="744"/>
      <c r="O284" s="745"/>
      <c r="P284" s="744"/>
      <c r="Q284" s="745"/>
      <c r="R284" s="744"/>
      <c r="S284" s="745"/>
      <c r="T284" s="112"/>
      <c r="U284" s="71">
        <f t="shared" ref="U284" si="52">IF(OR(D284="s",F284="s",H284="s",J284="s",L284="s",N284="s",P284="s",R284="s"), 0, IF(OR(D284="a",F284="a",H284="a",J284="a",L284="a",N284="a",P284="a",R284="a"),V284,0))</f>
        <v>0</v>
      </c>
      <c r="V284" s="415">
        <f>IF(T284="na",0,20)</f>
        <v>20</v>
      </c>
      <c r="W284" s="82">
        <f>COUNTIF(D284:S284,"a")+COUNTIF(D284:S284,"s")+COUNTIF(T284,"na")</f>
        <v>0</v>
      </c>
      <c r="X284" s="720"/>
      <c r="Y284" s="699"/>
      <c r="Z284" s="697" t="s">
        <v>656</v>
      </c>
      <c r="AA284" s="698"/>
    </row>
    <row r="285" spans="1:27" ht="21" customHeight="1" thickTop="1" thickBot="1" x14ac:dyDescent="0.25">
      <c r="A285" s="421"/>
      <c r="B285" s="12"/>
      <c r="C285" s="179"/>
      <c r="D285" s="750" t="s">
        <v>662</v>
      </c>
      <c r="E285" s="779"/>
      <c r="F285" s="779"/>
      <c r="G285" s="779"/>
      <c r="H285" s="779"/>
      <c r="I285" s="779"/>
      <c r="J285" s="779"/>
      <c r="K285" s="779"/>
      <c r="L285" s="779"/>
      <c r="M285" s="779"/>
      <c r="N285" s="779"/>
      <c r="O285" s="779"/>
      <c r="P285" s="779"/>
      <c r="Q285" s="779"/>
      <c r="R285" s="779"/>
      <c r="S285" s="779"/>
      <c r="T285" s="780"/>
      <c r="U285" s="2">
        <f>SUM(U264:U284)</f>
        <v>0</v>
      </c>
      <c r="V285" s="418">
        <f>SUM(V264:V268)+SUM(V272)+SUM(V275)+SUM(V277:V284)</f>
        <v>140</v>
      </c>
      <c r="W285" s="82"/>
      <c r="X285" s="724"/>
      <c r="Y285" s="699"/>
      <c r="Z285" s="697"/>
      <c r="AA285" s="698"/>
    </row>
    <row r="286" spans="1:27" ht="21" customHeight="1" thickBot="1" x14ac:dyDescent="0.25">
      <c r="A286" s="411"/>
      <c r="B286" s="262"/>
      <c r="C286" s="380"/>
      <c r="D286" s="945"/>
      <c r="E286" s="741"/>
      <c r="F286" s="829">
        <f>IF(AND(T284="na",T280="na"),0,IF(T280="na",20,IF(T284="na",15,35)))</f>
        <v>35</v>
      </c>
      <c r="G286" s="746"/>
      <c r="H286" s="746"/>
      <c r="I286" s="746"/>
      <c r="J286" s="746"/>
      <c r="K286" s="746"/>
      <c r="L286" s="746"/>
      <c r="M286" s="746"/>
      <c r="N286" s="746"/>
      <c r="O286" s="746"/>
      <c r="P286" s="746"/>
      <c r="Q286" s="746"/>
      <c r="R286" s="746"/>
      <c r="S286" s="746"/>
      <c r="T286" s="746"/>
      <c r="U286" s="746"/>
      <c r="V286" s="747"/>
      <c r="W286" s="82"/>
      <c r="X286" s="722"/>
      <c r="Y286" s="699"/>
      <c r="Z286" s="697"/>
      <c r="AA286" s="698"/>
    </row>
    <row r="287" spans="1:27" ht="30" customHeight="1" x14ac:dyDescent="0.2">
      <c r="A287" s="408"/>
      <c r="B287" s="329">
        <v>5420</v>
      </c>
      <c r="C287" s="662" t="s">
        <v>1409</v>
      </c>
      <c r="D287" s="633"/>
      <c r="E287" s="634"/>
      <c r="F287" s="633"/>
      <c r="G287" s="634"/>
      <c r="H287" s="633"/>
      <c r="I287" s="634"/>
      <c r="J287" s="633"/>
      <c r="K287" s="634"/>
      <c r="L287" s="633" t="s">
        <v>661</v>
      </c>
      <c r="M287" s="634"/>
      <c r="N287" s="633"/>
      <c r="O287" s="634"/>
      <c r="P287" s="633"/>
      <c r="Q287" s="634"/>
      <c r="R287" s="633"/>
      <c r="S287" s="634"/>
      <c r="T287" s="635"/>
      <c r="U287" s="636"/>
      <c r="V287" s="636"/>
      <c r="W287" s="82"/>
      <c r="X287" s="722"/>
      <c r="Y287" s="699"/>
      <c r="Z287" s="697"/>
      <c r="AA287" s="698"/>
    </row>
    <row r="288" spans="1:27" ht="30" customHeight="1" x14ac:dyDescent="0.2">
      <c r="A288" s="421"/>
      <c r="B288" s="319"/>
      <c r="C288" s="404" t="s">
        <v>1400</v>
      </c>
      <c r="D288" s="969"/>
      <c r="E288" s="970"/>
      <c r="F288" s="970"/>
      <c r="G288" s="970"/>
      <c r="H288" s="970"/>
      <c r="I288" s="970"/>
      <c r="J288" s="970"/>
      <c r="K288" s="970"/>
      <c r="L288" s="970"/>
      <c r="M288" s="970"/>
      <c r="N288" s="970"/>
      <c r="O288" s="970"/>
      <c r="P288" s="970"/>
      <c r="Q288" s="970"/>
      <c r="R288" s="970"/>
      <c r="S288" s="970"/>
      <c r="T288" s="970"/>
      <c r="U288" s="970"/>
      <c r="V288" s="971"/>
      <c r="W288" s="82"/>
      <c r="Z288" s="697"/>
      <c r="AA288" s="698"/>
    </row>
    <row r="289" spans="1:27" ht="40.5" x14ac:dyDescent="0.2">
      <c r="A289" s="430"/>
      <c r="B289" s="329" t="s">
        <v>1410</v>
      </c>
      <c r="C289" s="246" t="s">
        <v>1416</v>
      </c>
      <c r="D289" s="753"/>
      <c r="E289" s="754"/>
      <c r="F289" s="753"/>
      <c r="G289" s="754"/>
      <c r="H289" s="753"/>
      <c r="I289" s="754"/>
      <c r="J289" s="753"/>
      <c r="K289" s="754"/>
      <c r="L289" s="753"/>
      <c r="M289" s="754"/>
      <c r="N289" s="753"/>
      <c r="O289" s="754"/>
      <c r="P289" s="753"/>
      <c r="Q289" s="754"/>
      <c r="R289" s="753"/>
      <c r="S289" s="754"/>
      <c r="T289" s="575"/>
      <c r="U289" s="533">
        <f>IF(OR(D289="s",F289="s",H289="s",J289="s",L289="s",N289="s",P289="s",R289="s"), 0, IF(OR(D289="a",F289="a",H289="a",J289="a",L289="a",N289="a",P289="a",R289="a"),V289,0))</f>
        <v>0</v>
      </c>
      <c r="V289" s="566">
        <f>IF(T289="na",0,10)</f>
        <v>10</v>
      </c>
      <c r="W289" s="82">
        <f>COUNTIF(D289:S289,"a")+COUNTIF(D289:S289,"s")+COUNTIF(T289,"na")</f>
        <v>0</v>
      </c>
      <c r="X289" s="720"/>
      <c r="Y289" s="699"/>
      <c r="Z289" s="697"/>
      <c r="AA289" s="698"/>
    </row>
    <row r="290" spans="1:27" ht="30" customHeight="1" x14ac:dyDescent="0.2">
      <c r="A290" s="421"/>
      <c r="B290" s="319"/>
      <c r="C290" s="404" t="s">
        <v>1401</v>
      </c>
      <c r="D290" s="969"/>
      <c r="E290" s="970"/>
      <c r="F290" s="970"/>
      <c r="G290" s="970"/>
      <c r="H290" s="970"/>
      <c r="I290" s="970"/>
      <c r="J290" s="970"/>
      <c r="K290" s="970"/>
      <c r="L290" s="970"/>
      <c r="M290" s="970"/>
      <c r="N290" s="970"/>
      <c r="O290" s="970"/>
      <c r="P290" s="970"/>
      <c r="Q290" s="970"/>
      <c r="R290" s="970"/>
      <c r="S290" s="970"/>
      <c r="T290" s="970"/>
      <c r="U290" s="970"/>
      <c r="V290" s="971"/>
      <c r="W290" s="82"/>
      <c r="Z290" s="697"/>
      <c r="AA290" s="698"/>
    </row>
    <row r="291" spans="1:27" ht="106.5" customHeight="1" x14ac:dyDescent="0.2">
      <c r="A291" s="430"/>
      <c r="B291" s="329" t="s">
        <v>1411</v>
      </c>
      <c r="C291" s="246" t="s">
        <v>1417</v>
      </c>
      <c r="D291" s="753"/>
      <c r="E291" s="754"/>
      <c r="F291" s="753"/>
      <c r="G291" s="754"/>
      <c r="H291" s="753"/>
      <c r="I291" s="754"/>
      <c r="J291" s="753"/>
      <c r="K291" s="754"/>
      <c r="L291" s="753"/>
      <c r="M291" s="754"/>
      <c r="N291" s="753"/>
      <c r="O291" s="754"/>
      <c r="P291" s="753"/>
      <c r="Q291" s="754"/>
      <c r="R291" s="753"/>
      <c r="S291" s="754"/>
      <c r="T291" s="575"/>
      <c r="U291" s="533">
        <f>IF(OR(D291="s",F291="s",H291="s",J291="s",L291="s",N291="s",P291="s",R291="s"), 0, IF(OR(D291="a",F291="a",H291="a",J291="a",L291="a",N291="a",P291="a",R291="a"),V291,0))</f>
        <v>0</v>
      </c>
      <c r="V291" s="566">
        <f>IF(T291="na",0,30)</f>
        <v>30</v>
      </c>
      <c r="W291" s="82">
        <f>COUNTIF(D291:S291,"a")+COUNTIF(D291:S291,"s")+COUNTIF(T291,"na")</f>
        <v>0</v>
      </c>
      <c r="X291" s="720"/>
      <c r="Y291" s="699"/>
      <c r="Z291" s="697"/>
      <c r="AA291" s="698"/>
    </row>
    <row r="292" spans="1:27" ht="30" customHeight="1" x14ac:dyDescent="0.2">
      <c r="A292" s="421"/>
      <c r="B292" s="319"/>
      <c r="C292" s="404" t="s">
        <v>1403</v>
      </c>
      <c r="D292" s="969"/>
      <c r="E292" s="970"/>
      <c r="F292" s="970"/>
      <c r="G292" s="970"/>
      <c r="H292" s="970"/>
      <c r="I292" s="970"/>
      <c r="J292" s="970"/>
      <c r="K292" s="970"/>
      <c r="L292" s="970"/>
      <c r="M292" s="970"/>
      <c r="N292" s="970"/>
      <c r="O292" s="970"/>
      <c r="P292" s="970"/>
      <c r="Q292" s="970"/>
      <c r="R292" s="970"/>
      <c r="S292" s="970"/>
      <c r="T292" s="970"/>
      <c r="U292" s="970"/>
      <c r="V292" s="971"/>
      <c r="W292" s="82"/>
      <c r="Z292" s="697"/>
      <c r="AA292" s="698"/>
    </row>
    <row r="293" spans="1:27" ht="30" customHeight="1" x14ac:dyDescent="0.2">
      <c r="A293" s="421"/>
      <c r="B293" s="319"/>
      <c r="C293" s="404" t="s">
        <v>1412</v>
      </c>
      <c r="D293" s="969"/>
      <c r="E293" s="970"/>
      <c r="F293" s="970"/>
      <c r="G293" s="970"/>
      <c r="H293" s="970"/>
      <c r="I293" s="970"/>
      <c r="J293" s="970"/>
      <c r="K293" s="970"/>
      <c r="L293" s="970"/>
      <c r="M293" s="970"/>
      <c r="N293" s="970"/>
      <c r="O293" s="970"/>
      <c r="P293" s="970"/>
      <c r="Q293" s="970"/>
      <c r="R293" s="970"/>
      <c r="S293" s="970"/>
      <c r="T293" s="970"/>
      <c r="U293" s="970"/>
      <c r="V293" s="971"/>
      <c r="W293" s="82"/>
      <c r="Z293" s="697"/>
      <c r="AA293" s="698"/>
    </row>
    <row r="294" spans="1:27" ht="126" customHeight="1" x14ac:dyDescent="0.2">
      <c r="A294" s="430"/>
      <c r="B294" s="311" t="s">
        <v>1413</v>
      </c>
      <c r="C294" s="244" t="s">
        <v>1418</v>
      </c>
      <c r="D294" s="744"/>
      <c r="E294" s="745"/>
      <c r="F294" s="744"/>
      <c r="G294" s="745"/>
      <c r="H294" s="744"/>
      <c r="I294" s="745"/>
      <c r="J294" s="744"/>
      <c r="K294" s="745"/>
      <c r="L294" s="744"/>
      <c r="M294" s="745"/>
      <c r="N294" s="744"/>
      <c r="O294" s="745"/>
      <c r="P294" s="744"/>
      <c r="Q294" s="745"/>
      <c r="R294" s="744"/>
      <c r="S294" s="745"/>
      <c r="T294" s="112"/>
      <c r="U294" s="71">
        <f t="shared" ref="U294:U300" si="53">IF(OR(D294="s",F294="s",H294="s",J294="s",L294="s",N294="s",P294="s",R294="s"), 0, IF(OR(D294="a",F294="a",H294="a",J294="a",L294="a",N294="a",P294="a",R294="a"),V294,0))</f>
        <v>0</v>
      </c>
      <c r="V294" s="425">
        <f>IF(T294="na",0,10)</f>
        <v>10</v>
      </c>
      <c r="W294" s="82">
        <f t="shared" ref="W294:W300" si="54">COUNTIF(D294:S294,"a")+COUNTIF(D294:S294,"s")+COUNTIF(T294,"na")</f>
        <v>0</v>
      </c>
      <c r="X294" s="720"/>
      <c r="Y294" s="699"/>
      <c r="Z294" s="697"/>
      <c r="AA294" s="698"/>
    </row>
    <row r="295" spans="1:27" ht="67.7" customHeight="1" x14ac:dyDescent="0.2">
      <c r="A295" s="421"/>
      <c r="B295" s="311" t="s">
        <v>1414</v>
      </c>
      <c r="C295" s="247" t="s">
        <v>1423</v>
      </c>
      <c r="D295" s="742"/>
      <c r="E295" s="743"/>
      <c r="F295" s="742"/>
      <c r="G295" s="743"/>
      <c r="H295" s="742"/>
      <c r="I295" s="743"/>
      <c r="J295" s="742"/>
      <c r="K295" s="743"/>
      <c r="L295" s="742"/>
      <c r="M295" s="743"/>
      <c r="N295" s="742"/>
      <c r="O295" s="743"/>
      <c r="P295" s="742"/>
      <c r="Q295" s="743"/>
      <c r="R295" s="742"/>
      <c r="S295" s="743"/>
      <c r="T295" s="113" t="str">
        <f>IF(T294="na", "na", " ")</f>
        <v xml:space="preserve"> </v>
      </c>
      <c r="U295" s="67">
        <f t="shared" si="53"/>
        <v>0</v>
      </c>
      <c r="V295" s="417">
        <f>IF(T295="na",0,10)</f>
        <v>10</v>
      </c>
      <c r="W295" s="82">
        <f t="shared" si="54"/>
        <v>0</v>
      </c>
      <c r="X295" s="720"/>
      <c r="Y295" s="699"/>
      <c r="Z295" s="697" t="s">
        <v>656</v>
      </c>
      <c r="AA295" s="698"/>
    </row>
    <row r="296" spans="1:27" ht="106.5" customHeight="1" x14ac:dyDescent="0.2">
      <c r="A296" s="421"/>
      <c r="B296" s="338" t="s">
        <v>1419</v>
      </c>
      <c r="C296" s="247" t="s">
        <v>1424</v>
      </c>
      <c r="D296" s="742"/>
      <c r="E296" s="743"/>
      <c r="F296" s="742"/>
      <c r="G296" s="743"/>
      <c r="H296" s="742"/>
      <c r="I296" s="743"/>
      <c r="J296" s="742"/>
      <c r="K296" s="743"/>
      <c r="L296" s="742"/>
      <c r="M296" s="743"/>
      <c r="N296" s="742"/>
      <c r="O296" s="743"/>
      <c r="P296" s="742"/>
      <c r="Q296" s="743"/>
      <c r="R296" s="742"/>
      <c r="S296" s="743"/>
      <c r="T296" s="113" t="str">
        <f>IF(T294="na", "na", " ")</f>
        <v xml:space="preserve"> </v>
      </c>
      <c r="U296" s="67">
        <f t="shared" si="53"/>
        <v>0</v>
      </c>
      <c r="V296" s="420">
        <f>IF(T296="na",0,15)</f>
        <v>15</v>
      </c>
      <c r="W296" s="82">
        <f t="shared" si="54"/>
        <v>0</v>
      </c>
      <c r="X296" s="720"/>
      <c r="Y296" s="699"/>
      <c r="Z296" s="697"/>
      <c r="AA296" s="698"/>
    </row>
    <row r="297" spans="1:27" ht="27.95" customHeight="1" x14ac:dyDescent="0.2">
      <c r="A297" s="421"/>
      <c r="B297" s="319" t="s">
        <v>1421</v>
      </c>
      <c r="C297" s="131" t="s">
        <v>1516</v>
      </c>
      <c r="D297" s="764"/>
      <c r="E297" s="765"/>
      <c r="F297" s="764"/>
      <c r="G297" s="765"/>
      <c r="H297" s="764"/>
      <c r="I297" s="765"/>
      <c r="J297" s="764"/>
      <c r="K297" s="765"/>
      <c r="L297" s="764"/>
      <c r="M297" s="765"/>
      <c r="N297" s="764"/>
      <c r="O297" s="765"/>
      <c r="P297" s="764"/>
      <c r="Q297" s="765"/>
      <c r="R297" s="764"/>
      <c r="S297" s="765"/>
      <c r="T297" s="572" t="str">
        <f>IF(T294="na", "na", " ")</f>
        <v xml:space="preserve"> </v>
      </c>
      <c r="U297" s="67">
        <f t="shared" si="53"/>
        <v>0</v>
      </c>
      <c r="V297" s="422">
        <f>IF(T297="na",0,10)</f>
        <v>10</v>
      </c>
      <c r="W297" s="82">
        <f>IF((COUNTIF(D297:S297,"a")+COUNTIF(D297:S297,"s"))&gt;0,IF((COUNTIF(D298:S298,"a")+COUNTIF(D298:S298,"s"))&gt;0,0,COUNTIF(D297:S297,"a")+COUNTIF(D297:S297,"s")+COUNTIF(T297,"NA")), COUNTIF(D297:S297,"a")+COUNTIF(D297:S297,"s")+COUNTIF(T297,"NA"))</f>
        <v>0</v>
      </c>
      <c r="X297" s="717"/>
      <c r="Y297" s="694"/>
      <c r="Z297" s="697"/>
      <c r="AA297" s="698"/>
    </row>
    <row r="298" spans="1:27" ht="45" customHeight="1" x14ac:dyDescent="0.2">
      <c r="A298" s="421"/>
      <c r="B298" s="320" t="s">
        <v>1420</v>
      </c>
      <c r="C298" s="192" t="s">
        <v>1425</v>
      </c>
      <c r="D298" s="730"/>
      <c r="E298" s="731"/>
      <c r="F298" s="730"/>
      <c r="G298" s="731"/>
      <c r="H298" s="730"/>
      <c r="I298" s="731"/>
      <c r="J298" s="730"/>
      <c r="K298" s="731"/>
      <c r="L298" s="730"/>
      <c r="M298" s="731"/>
      <c r="N298" s="730"/>
      <c r="O298" s="731"/>
      <c r="P298" s="730"/>
      <c r="Q298" s="731"/>
      <c r="R298" s="730"/>
      <c r="S298" s="731"/>
      <c r="T298" s="572" t="str">
        <f>IF(T294="na","na", " ")</f>
        <v xml:space="preserve"> </v>
      </c>
      <c r="U298" s="109">
        <f t="shared" si="53"/>
        <v>0</v>
      </c>
      <c r="V298" s="417">
        <f>IF(T298="na",0,5)</f>
        <v>5</v>
      </c>
      <c r="W298" s="82">
        <f>IF((COUNTIF(D298:S298,"a")+COUNTIF(D298:S298,"s"))&gt;0,IF((COUNTIF(D297:S297,"a")+COUNTIF(D297:S297,"s"))&gt;0,0,COUNTIF(D298:S298,"a")+COUNTIF(D298:S298,"s")), COUNTIF(D298:S298,"a")+COUNTIF(D298:S298,"s"))+COUNTIF(T298,"na")</f>
        <v>0</v>
      </c>
      <c r="X298" s="717"/>
      <c r="Y298" s="694"/>
      <c r="Z298" s="697"/>
      <c r="AA298" s="698"/>
    </row>
    <row r="299" spans="1:27" ht="45" customHeight="1" x14ac:dyDescent="0.2">
      <c r="A299" s="421"/>
      <c r="B299" s="311" t="s">
        <v>1422</v>
      </c>
      <c r="C299" s="247" t="s">
        <v>1426</v>
      </c>
      <c r="D299" s="744"/>
      <c r="E299" s="745"/>
      <c r="F299" s="744"/>
      <c r="G299" s="745"/>
      <c r="H299" s="744"/>
      <c r="I299" s="745"/>
      <c r="J299" s="744"/>
      <c r="K299" s="745"/>
      <c r="L299" s="744"/>
      <c r="M299" s="745"/>
      <c r="N299" s="744"/>
      <c r="O299" s="745"/>
      <c r="P299" s="744"/>
      <c r="Q299" s="745"/>
      <c r="R299" s="744"/>
      <c r="S299" s="745"/>
      <c r="T299" s="113" t="str">
        <f>IF(OR(T294="na",D297="s",F297="s",H297="s",J297="s",L297="s",N297="s",P297="s",R297="s"),"na","")</f>
        <v/>
      </c>
      <c r="U299" s="71">
        <f t="shared" si="53"/>
        <v>0</v>
      </c>
      <c r="V299" s="420">
        <f>IF(T299="na",0,15)</f>
        <v>15</v>
      </c>
      <c r="W299" s="82">
        <f t="shared" si="54"/>
        <v>0</v>
      </c>
      <c r="X299" s="720"/>
      <c r="Y299" s="699"/>
      <c r="Z299" s="697"/>
      <c r="AA299" s="698"/>
    </row>
    <row r="300" spans="1:27" ht="45" customHeight="1" thickBot="1" x14ac:dyDescent="0.25">
      <c r="A300" s="421"/>
      <c r="B300" s="338" t="s">
        <v>1415</v>
      </c>
      <c r="C300" s="247" t="s">
        <v>1427</v>
      </c>
      <c r="D300" s="751"/>
      <c r="E300" s="752"/>
      <c r="F300" s="751"/>
      <c r="G300" s="752"/>
      <c r="H300" s="751"/>
      <c r="I300" s="752"/>
      <c r="J300" s="751"/>
      <c r="K300" s="752"/>
      <c r="L300" s="751"/>
      <c r="M300" s="752"/>
      <c r="N300" s="751"/>
      <c r="O300" s="752"/>
      <c r="P300" s="751"/>
      <c r="Q300" s="752"/>
      <c r="R300" s="751"/>
      <c r="S300" s="752"/>
      <c r="T300" s="113" t="str">
        <f>IF(OR(T294="na",T299="na"),"na", " ")</f>
        <v xml:space="preserve"> </v>
      </c>
      <c r="U300" s="67">
        <f t="shared" si="53"/>
        <v>0</v>
      </c>
      <c r="V300" s="420">
        <f>IF(T300="na",0,5)</f>
        <v>5</v>
      </c>
      <c r="W300" s="82">
        <f t="shared" si="54"/>
        <v>0</v>
      </c>
      <c r="X300" s="720"/>
      <c r="Y300" s="699"/>
      <c r="Z300" s="697" t="s">
        <v>656</v>
      </c>
      <c r="AA300" s="698"/>
    </row>
    <row r="301" spans="1:27" ht="21" customHeight="1" thickTop="1" thickBot="1" x14ac:dyDescent="0.25">
      <c r="A301" s="421"/>
      <c r="B301" s="12"/>
      <c r="C301" s="179"/>
      <c r="D301" s="750" t="s">
        <v>662</v>
      </c>
      <c r="E301" s="779"/>
      <c r="F301" s="779"/>
      <c r="G301" s="779"/>
      <c r="H301" s="779"/>
      <c r="I301" s="779"/>
      <c r="J301" s="779"/>
      <c r="K301" s="779"/>
      <c r="L301" s="779"/>
      <c r="M301" s="779"/>
      <c r="N301" s="779"/>
      <c r="O301" s="779"/>
      <c r="P301" s="779"/>
      <c r="Q301" s="779"/>
      <c r="R301" s="779"/>
      <c r="S301" s="779"/>
      <c r="T301" s="780"/>
      <c r="U301" s="2">
        <f>SUM(U289:U300)</f>
        <v>0</v>
      </c>
      <c r="V301" s="418">
        <f>SUM(V289:V297)+SUM(V299:V300)</f>
        <v>105</v>
      </c>
      <c r="W301" s="82"/>
      <c r="X301" s="724"/>
      <c r="Y301" s="699"/>
      <c r="Z301" s="697"/>
      <c r="AA301" s="698"/>
    </row>
    <row r="302" spans="1:27" ht="21" customHeight="1" thickBot="1" x14ac:dyDescent="0.25">
      <c r="A302" s="411"/>
      <c r="B302" s="262"/>
      <c r="C302" s="380"/>
      <c r="D302" s="945"/>
      <c r="E302" s="741"/>
      <c r="F302" s="1002">
        <f>IF(T294="na",0,IF(T299="na",10,15))</f>
        <v>15</v>
      </c>
      <c r="G302" s="1003"/>
      <c r="H302" s="1003"/>
      <c r="I302" s="1003"/>
      <c r="J302" s="1003"/>
      <c r="K302" s="1003"/>
      <c r="L302" s="1003"/>
      <c r="M302" s="1003"/>
      <c r="N302" s="1003"/>
      <c r="O302" s="1003"/>
      <c r="P302" s="1003"/>
      <c r="Q302" s="1003"/>
      <c r="R302" s="1003"/>
      <c r="S302" s="1003"/>
      <c r="T302" s="1003"/>
      <c r="U302" s="1003"/>
      <c r="V302" s="1004"/>
      <c r="W302" s="82"/>
      <c r="X302" s="722"/>
      <c r="Y302" s="699"/>
      <c r="Z302" s="697"/>
      <c r="AA302" s="698"/>
    </row>
    <row r="303" spans="1:27" ht="48" customHeight="1" thickBot="1" x14ac:dyDescent="0.25">
      <c r="A303" s="408"/>
      <c r="B303" s="339">
        <v>5421</v>
      </c>
      <c r="C303" s="461" t="s">
        <v>401</v>
      </c>
      <c r="D303" s="550"/>
      <c r="E303" s="249"/>
      <c r="F303" s="550"/>
      <c r="G303" s="249"/>
      <c r="H303" s="550"/>
      <c r="I303" s="249"/>
      <c r="J303" s="550"/>
      <c r="K303" s="249"/>
      <c r="L303" s="550" t="s">
        <v>661</v>
      </c>
      <c r="M303" s="249"/>
      <c r="N303" s="550" t="s">
        <v>661</v>
      </c>
      <c r="O303" s="249"/>
      <c r="P303" s="550"/>
      <c r="Q303" s="249"/>
      <c r="R303" s="550"/>
      <c r="S303" s="249"/>
      <c r="T303" s="557"/>
      <c r="U303" s="558"/>
      <c r="V303" s="558"/>
      <c r="W303" s="82"/>
      <c r="X303" s="722"/>
      <c r="Y303" s="699"/>
      <c r="Z303" s="697"/>
      <c r="AA303" s="698"/>
    </row>
    <row r="304" spans="1:27" ht="45" customHeight="1" x14ac:dyDescent="0.2">
      <c r="A304" s="429"/>
      <c r="B304" s="313" t="s">
        <v>339</v>
      </c>
      <c r="C304" s="244" t="s">
        <v>431</v>
      </c>
      <c r="D304" s="748"/>
      <c r="E304" s="749"/>
      <c r="F304" s="748"/>
      <c r="G304" s="749"/>
      <c r="H304" s="748"/>
      <c r="I304" s="749"/>
      <c r="J304" s="748"/>
      <c r="K304" s="749"/>
      <c r="L304" s="748"/>
      <c r="M304" s="749"/>
      <c r="N304" s="748"/>
      <c r="O304" s="749"/>
      <c r="P304" s="748"/>
      <c r="Q304" s="749"/>
      <c r="R304" s="748"/>
      <c r="S304" s="749"/>
      <c r="T304" s="112"/>
      <c r="U304" s="70">
        <f>IF(OR(D304="s",F304="s",H304="s",J304="s",L304="s",N304="s",P304="s",R304="s"), 0, IF(OR(D304="a",F304="a",H304="a",J304="a",L304="a",N304="a",P304="a",R304="a",T304="na"),V304,0))</f>
        <v>0</v>
      </c>
      <c r="V304" s="415">
        <v>20</v>
      </c>
      <c r="W304" s="82">
        <f t="shared" ref="W304:W310" si="55">COUNTIF(D304:S304,"a")+COUNTIF(D304:S304,"s")+COUNTIF(T304,"na")</f>
        <v>0</v>
      </c>
      <c r="X304" s="720"/>
      <c r="Y304" s="699"/>
      <c r="Z304" s="697" t="s">
        <v>656</v>
      </c>
      <c r="AA304" s="698"/>
    </row>
    <row r="305" spans="1:27" ht="45" customHeight="1" x14ac:dyDescent="0.2">
      <c r="A305" s="429"/>
      <c r="B305" s="313" t="s">
        <v>340</v>
      </c>
      <c r="C305" s="244" t="s">
        <v>441</v>
      </c>
      <c r="D305" s="742"/>
      <c r="E305" s="743"/>
      <c r="F305" s="742"/>
      <c r="G305" s="743"/>
      <c r="H305" s="742"/>
      <c r="I305" s="743"/>
      <c r="J305" s="742"/>
      <c r="K305" s="743"/>
      <c r="L305" s="742"/>
      <c r="M305" s="743"/>
      <c r="N305" s="742"/>
      <c r="O305" s="743"/>
      <c r="P305" s="742"/>
      <c r="Q305" s="743"/>
      <c r="R305" s="742"/>
      <c r="S305" s="743"/>
      <c r="T305" s="112"/>
      <c r="U305" s="71">
        <f>IF(OR(D305="s",F305="s",H305="s",J305="s",L305="s",N305="s",P305="s",R305="s"), 0, IF(OR(D305="a",F305="a",H305="a",J305="a",L305="a",N305="a",P305="a",R305="a",T305="na"),V305,0))</f>
        <v>0</v>
      </c>
      <c r="V305" s="416">
        <v>10</v>
      </c>
      <c r="W305" s="82">
        <f t="shared" si="55"/>
        <v>0</v>
      </c>
      <c r="X305" s="720"/>
      <c r="Y305" s="699"/>
      <c r="Z305" s="697" t="s">
        <v>656</v>
      </c>
      <c r="AA305" s="698"/>
    </row>
    <row r="306" spans="1:27" ht="30.75" customHeight="1" x14ac:dyDescent="0.2">
      <c r="A306" s="429"/>
      <c r="B306" s="313" t="s">
        <v>1087</v>
      </c>
      <c r="C306" s="244" t="s">
        <v>472</v>
      </c>
      <c r="D306" s="742"/>
      <c r="E306" s="743"/>
      <c r="F306" s="742"/>
      <c r="G306" s="743"/>
      <c r="H306" s="742"/>
      <c r="I306" s="743"/>
      <c r="J306" s="742"/>
      <c r="K306" s="743"/>
      <c r="L306" s="742"/>
      <c r="M306" s="743"/>
      <c r="N306" s="742"/>
      <c r="O306" s="743"/>
      <c r="P306" s="742"/>
      <c r="Q306" s="743"/>
      <c r="R306" s="742"/>
      <c r="S306" s="743"/>
      <c r="T306" s="112"/>
      <c r="U306" s="71">
        <f>IF(OR(D306="s",F306="s",H306="s",J306="s",L306="s",N306="s",P306="s",R306="s"), 0, IF(OR(D306="a",F306="a",H306="a",J306="a",L306="a",N306="a",P306="a",R306="a",T306="na"),V306,0))</f>
        <v>0</v>
      </c>
      <c r="V306" s="416">
        <v>10</v>
      </c>
      <c r="W306" s="82">
        <f t="shared" si="55"/>
        <v>0</v>
      </c>
      <c r="X306" s="720"/>
      <c r="Y306" s="699"/>
      <c r="Z306" s="697" t="s">
        <v>656</v>
      </c>
      <c r="AA306" s="698"/>
    </row>
    <row r="307" spans="1:27" ht="45" customHeight="1" x14ac:dyDescent="0.2">
      <c r="A307" s="429"/>
      <c r="B307" s="313" t="s">
        <v>1088</v>
      </c>
      <c r="C307" s="244" t="s">
        <v>116</v>
      </c>
      <c r="D307" s="742"/>
      <c r="E307" s="743"/>
      <c r="F307" s="742"/>
      <c r="G307" s="743"/>
      <c r="H307" s="742"/>
      <c r="I307" s="743"/>
      <c r="J307" s="742"/>
      <c r="K307" s="743"/>
      <c r="L307" s="742"/>
      <c r="M307" s="743"/>
      <c r="N307" s="742"/>
      <c r="O307" s="743"/>
      <c r="P307" s="742"/>
      <c r="Q307" s="743"/>
      <c r="R307" s="742"/>
      <c r="S307" s="743"/>
      <c r="T307" s="112"/>
      <c r="U307" s="67">
        <f t="shared" ref="U307:U309" si="56">IF(OR(D307="s",F307="s",H307="s",J307="s",L307="s",N307="s",P307="s",R307="s"), 0, IF(OR(D307="a",F307="a",H307="a",J307="a",L307="a",N307="a",P307="a",R307="a"),V307,0))</f>
        <v>0</v>
      </c>
      <c r="V307" s="416">
        <v>10</v>
      </c>
      <c r="W307" s="82">
        <f t="shared" si="55"/>
        <v>0</v>
      </c>
      <c r="X307" s="720"/>
      <c r="Y307" s="699"/>
      <c r="Z307" s="697"/>
      <c r="AA307" s="698"/>
    </row>
    <row r="308" spans="1:27" ht="45" customHeight="1" x14ac:dyDescent="0.2">
      <c r="A308" s="429"/>
      <c r="B308" s="313" t="s">
        <v>1089</v>
      </c>
      <c r="C308" s="244" t="s">
        <v>788</v>
      </c>
      <c r="D308" s="742"/>
      <c r="E308" s="743"/>
      <c r="F308" s="742"/>
      <c r="G308" s="743"/>
      <c r="H308" s="742"/>
      <c r="I308" s="743"/>
      <c r="J308" s="742"/>
      <c r="K308" s="743"/>
      <c r="L308" s="742"/>
      <c r="M308" s="743"/>
      <c r="N308" s="742"/>
      <c r="O308" s="743"/>
      <c r="P308" s="742"/>
      <c r="Q308" s="743"/>
      <c r="R308" s="742"/>
      <c r="S308" s="743"/>
      <c r="T308" s="112"/>
      <c r="U308" s="71">
        <f>IF(OR(D308="s",F308="s",H308="s",J308="s",L308="s",N308="s",P308="s",R308="s"), 0, IF(OR(D308="a",F308="a",H308="a",J308="a",L308="a",N308="a",P308="a",R308="a",T308="na"),V308,0))</f>
        <v>0</v>
      </c>
      <c r="V308" s="417">
        <v>10</v>
      </c>
      <c r="W308" s="82">
        <f t="shared" si="55"/>
        <v>0</v>
      </c>
      <c r="X308" s="720"/>
      <c r="Y308" s="699"/>
      <c r="Z308" s="697" t="s">
        <v>656</v>
      </c>
      <c r="AA308" s="698"/>
    </row>
    <row r="309" spans="1:27" ht="27.95" customHeight="1" x14ac:dyDescent="0.2">
      <c r="A309" s="429"/>
      <c r="B309" s="313" t="s">
        <v>1090</v>
      </c>
      <c r="C309" s="244" t="s">
        <v>91</v>
      </c>
      <c r="D309" s="742"/>
      <c r="E309" s="743"/>
      <c r="F309" s="742"/>
      <c r="G309" s="743"/>
      <c r="H309" s="742"/>
      <c r="I309" s="743"/>
      <c r="J309" s="742"/>
      <c r="K309" s="743"/>
      <c r="L309" s="742"/>
      <c r="M309" s="743"/>
      <c r="N309" s="742"/>
      <c r="O309" s="743"/>
      <c r="P309" s="742"/>
      <c r="Q309" s="743"/>
      <c r="R309" s="742"/>
      <c r="S309" s="743"/>
      <c r="T309" s="112"/>
      <c r="U309" s="67">
        <f t="shared" si="56"/>
        <v>0</v>
      </c>
      <c r="V309" s="416">
        <v>10</v>
      </c>
      <c r="W309" s="82">
        <f t="shared" si="55"/>
        <v>0</v>
      </c>
      <c r="X309" s="720"/>
      <c r="Y309" s="699"/>
      <c r="Z309" s="697"/>
      <c r="AA309" s="698"/>
    </row>
    <row r="310" spans="1:27" ht="45" customHeight="1" thickBot="1" x14ac:dyDescent="0.25">
      <c r="A310" s="429"/>
      <c r="B310" s="313" t="s">
        <v>1091</v>
      </c>
      <c r="C310" s="243" t="s">
        <v>789</v>
      </c>
      <c r="D310" s="751"/>
      <c r="E310" s="752"/>
      <c r="F310" s="751"/>
      <c r="G310" s="752"/>
      <c r="H310" s="751"/>
      <c r="I310" s="752"/>
      <c r="J310" s="751"/>
      <c r="K310" s="752"/>
      <c r="L310" s="751"/>
      <c r="M310" s="752"/>
      <c r="N310" s="751"/>
      <c r="O310" s="752"/>
      <c r="P310" s="751"/>
      <c r="Q310" s="752"/>
      <c r="R310" s="751"/>
      <c r="S310" s="752"/>
      <c r="T310" s="112"/>
      <c r="U310" s="71">
        <f>IF(OR(D310="s",F310="s",H310="s",J310="s",L310="s",N310="s",P310="s",R310="s"), 0, IF(OR(D310="a",F310="a",H310="a",J310="a",L310="a",N310="a",P310="a",R310="a",T310="na"),V310,0))</f>
        <v>0</v>
      </c>
      <c r="V310" s="456">
        <v>5</v>
      </c>
      <c r="W310" s="82">
        <f t="shared" si="55"/>
        <v>0</v>
      </c>
      <c r="X310" s="720"/>
      <c r="Y310" s="699"/>
      <c r="Z310" s="697" t="s">
        <v>656</v>
      </c>
      <c r="AA310" s="698"/>
    </row>
    <row r="311" spans="1:27" ht="21" customHeight="1" thickTop="1" thickBot="1" x14ac:dyDescent="0.25">
      <c r="A311" s="421"/>
      <c r="B311" s="340"/>
      <c r="C311" s="179"/>
      <c r="D311" s="750" t="s">
        <v>662</v>
      </c>
      <c r="E311" s="779"/>
      <c r="F311" s="779"/>
      <c r="G311" s="779"/>
      <c r="H311" s="779"/>
      <c r="I311" s="779"/>
      <c r="J311" s="779"/>
      <c r="K311" s="779"/>
      <c r="L311" s="779"/>
      <c r="M311" s="779"/>
      <c r="N311" s="779"/>
      <c r="O311" s="779"/>
      <c r="P311" s="779"/>
      <c r="Q311" s="779"/>
      <c r="R311" s="779"/>
      <c r="S311" s="779"/>
      <c r="T311" s="780"/>
      <c r="U311" s="2">
        <f>SUM(U304:U310)</f>
        <v>0</v>
      </c>
      <c r="V311" s="418">
        <f>SUM(V304:V310)</f>
        <v>75</v>
      </c>
      <c r="W311" s="82"/>
      <c r="X311" s="724"/>
      <c r="Y311" s="699"/>
      <c r="Z311" s="697"/>
      <c r="AA311" s="698"/>
    </row>
    <row r="312" spans="1:27" ht="21" customHeight="1" thickBot="1" x14ac:dyDescent="0.25">
      <c r="A312" s="421"/>
      <c r="B312" s="341"/>
      <c r="C312" s="165"/>
      <c r="D312" s="945"/>
      <c r="E312" s="741"/>
      <c r="F312" s="843">
        <v>55</v>
      </c>
      <c r="G312" s="746"/>
      <c r="H312" s="746"/>
      <c r="I312" s="746"/>
      <c r="J312" s="746"/>
      <c r="K312" s="746"/>
      <c r="L312" s="746"/>
      <c r="M312" s="746"/>
      <c r="N312" s="746"/>
      <c r="O312" s="746"/>
      <c r="P312" s="746"/>
      <c r="Q312" s="746"/>
      <c r="R312" s="746"/>
      <c r="S312" s="746"/>
      <c r="T312" s="746"/>
      <c r="U312" s="746"/>
      <c r="V312" s="747"/>
      <c r="W312" s="82"/>
      <c r="X312" s="722"/>
      <c r="Y312" s="699"/>
      <c r="Z312" s="697"/>
      <c r="AA312" s="698"/>
    </row>
    <row r="313" spans="1:27" ht="30" customHeight="1" thickBot="1" x14ac:dyDescent="0.25">
      <c r="A313" s="421"/>
      <c r="B313" s="336" t="s">
        <v>817</v>
      </c>
      <c r="C313" s="146" t="s">
        <v>1122</v>
      </c>
      <c r="D313" s="26" t="s">
        <v>661</v>
      </c>
      <c r="E313" s="25"/>
      <c r="F313" s="26"/>
      <c r="G313" s="25"/>
      <c r="H313" s="26"/>
      <c r="I313" s="25"/>
      <c r="J313" s="26"/>
      <c r="K313" s="25"/>
      <c r="L313" s="26" t="s">
        <v>661</v>
      </c>
      <c r="M313" s="25"/>
      <c r="N313" s="26"/>
      <c r="O313" s="25"/>
      <c r="P313" s="26"/>
      <c r="Q313" s="25"/>
      <c r="R313" s="26"/>
      <c r="S313" s="25"/>
      <c r="T313" s="40"/>
      <c r="U313" s="50"/>
      <c r="V313" s="50"/>
      <c r="W313" s="82"/>
      <c r="X313" s="722"/>
      <c r="Y313" s="699"/>
      <c r="Z313" s="697"/>
      <c r="AA313" s="698"/>
    </row>
    <row r="314" spans="1:27" ht="27.95" customHeight="1" x14ac:dyDescent="0.2">
      <c r="A314" s="429"/>
      <c r="B314" s="324" t="s">
        <v>1393</v>
      </c>
      <c r="C314" s="247" t="s">
        <v>1396</v>
      </c>
      <c r="D314" s="748"/>
      <c r="E314" s="749"/>
      <c r="F314" s="748"/>
      <c r="G314" s="749"/>
      <c r="H314" s="748"/>
      <c r="I314" s="749"/>
      <c r="J314" s="748"/>
      <c r="K314" s="749"/>
      <c r="L314" s="748"/>
      <c r="M314" s="749"/>
      <c r="N314" s="748"/>
      <c r="O314" s="749"/>
      <c r="P314" s="748"/>
      <c r="Q314" s="749"/>
      <c r="R314" s="748"/>
      <c r="S314" s="749"/>
      <c r="T314" s="69"/>
      <c r="U314" s="70">
        <f>IF(OR(D314="s",F314="s",H314="s",J314="s",L314="s",N314="s",P314="s",R314="s"), 0, IF(OR(D314="a",F314="a",H314="a",J314="a",L314="a",N314="a",P314="a",R314="a"),V314,0))</f>
        <v>0</v>
      </c>
      <c r="V314" s="420">
        <v>10</v>
      </c>
      <c r="W314" s="82">
        <f>COUNTIF(D314:S314,"a")+COUNTIF(D314:S314,"s")</f>
        <v>0</v>
      </c>
      <c r="X314" s="720"/>
      <c r="Y314" s="699"/>
      <c r="Z314" s="697"/>
      <c r="AA314" s="698"/>
    </row>
    <row r="315" spans="1:27" ht="27.95" customHeight="1" x14ac:dyDescent="0.2">
      <c r="A315" s="429"/>
      <c r="B315" s="324" t="s">
        <v>1394</v>
      </c>
      <c r="C315" s="247" t="s">
        <v>1397</v>
      </c>
      <c r="D315" s="742"/>
      <c r="E315" s="743"/>
      <c r="F315" s="742"/>
      <c r="G315" s="743"/>
      <c r="H315" s="742"/>
      <c r="I315" s="743"/>
      <c r="J315" s="742"/>
      <c r="K315" s="743"/>
      <c r="L315" s="742"/>
      <c r="M315" s="743"/>
      <c r="N315" s="742"/>
      <c r="O315" s="743"/>
      <c r="P315" s="742"/>
      <c r="Q315" s="743"/>
      <c r="R315" s="742"/>
      <c r="S315" s="743"/>
      <c r="T315" s="69"/>
      <c r="U315" s="67">
        <f>IF(OR(D315="s",F315="s",H315="s",J315="s",L315="s",N315="s",P315="s",R315="s"), 0, IF(OR(D315="a",F315="a",H315="a",J315="a",L315="a",N315="a",P315="a",R315="a"),V315,0))</f>
        <v>0</v>
      </c>
      <c r="V315" s="420">
        <v>10</v>
      </c>
      <c r="W315" s="82">
        <f>COUNTIF(D315:S315,"a")+COUNTIF(D315:S315,"s")</f>
        <v>0</v>
      </c>
      <c r="X315" s="720"/>
      <c r="Y315" s="699"/>
      <c r="Z315" s="697"/>
      <c r="AA315" s="698"/>
    </row>
    <row r="316" spans="1:27" ht="27.95" customHeight="1" thickBot="1" x14ac:dyDescent="0.25">
      <c r="A316" s="429"/>
      <c r="B316" s="313" t="s">
        <v>1395</v>
      </c>
      <c r="C316" s="244" t="s">
        <v>1398</v>
      </c>
      <c r="D316" s="742"/>
      <c r="E316" s="743"/>
      <c r="F316" s="742"/>
      <c r="G316" s="743"/>
      <c r="H316" s="742"/>
      <c r="I316" s="743"/>
      <c r="J316" s="742"/>
      <c r="K316" s="743"/>
      <c r="L316" s="742"/>
      <c r="M316" s="743"/>
      <c r="N316" s="742"/>
      <c r="O316" s="743"/>
      <c r="P316" s="742"/>
      <c r="Q316" s="743"/>
      <c r="R316" s="742"/>
      <c r="S316" s="743"/>
      <c r="T316" s="69"/>
      <c r="U316" s="67">
        <f>IF(OR(D316="s",F316="s",H316="s",J316="s",L316="s",N316="s",P316="s",R316="s"), 0, IF(OR(D316="a",F316="a",H316="a",J316="a",L316="a",N316="a",P316="a",R316="a"),V316,0))</f>
        <v>0</v>
      </c>
      <c r="V316" s="416">
        <v>10</v>
      </c>
      <c r="W316" s="82">
        <f>COUNTIF(D316:S316,"a")+COUNTIF(D316:S316,"s")</f>
        <v>0</v>
      </c>
      <c r="X316" s="720"/>
      <c r="Y316" s="699"/>
      <c r="Z316" s="697"/>
      <c r="AA316" s="698"/>
    </row>
    <row r="317" spans="1:27" ht="21" customHeight="1" thickTop="1" thickBot="1" x14ac:dyDescent="0.25">
      <c r="A317" s="421"/>
      <c r="B317" s="12"/>
      <c r="C317" s="179"/>
      <c r="D317" s="750" t="s">
        <v>662</v>
      </c>
      <c r="E317" s="779"/>
      <c r="F317" s="779"/>
      <c r="G317" s="779"/>
      <c r="H317" s="779"/>
      <c r="I317" s="779"/>
      <c r="J317" s="779"/>
      <c r="K317" s="779"/>
      <c r="L317" s="779"/>
      <c r="M317" s="779"/>
      <c r="N317" s="779"/>
      <c r="O317" s="779"/>
      <c r="P317" s="779"/>
      <c r="Q317" s="779"/>
      <c r="R317" s="779"/>
      <c r="S317" s="779"/>
      <c r="T317" s="780"/>
      <c r="U317" s="2">
        <f>SUM(U314:U316)</f>
        <v>0</v>
      </c>
      <c r="V317" s="418">
        <f>SUM(V314:V316)</f>
        <v>30</v>
      </c>
      <c r="W317" s="82"/>
      <c r="X317" s="724"/>
      <c r="Y317" s="699"/>
      <c r="Z317" s="697"/>
      <c r="AA317" s="698"/>
    </row>
    <row r="318" spans="1:27" ht="21" customHeight="1" thickBot="1" x14ac:dyDescent="0.25">
      <c r="A318" s="411"/>
      <c r="B318" s="262"/>
      <c r="C318" s="380"/>
      <c r="D318" s="945"/>
      <c r="E318" s="741"/>
      <c r="F318" s="766">
        <v>0</v>
      </c>
      <c r="G318" s="746"/>
      <c r="H318" s="746"/>
      <c r="I318" s="746"/>
      <c r="J318" s="746"/>
      <c r="K318" s="746"/>
      <c r="L318" s="746"/>
      <c r="M318" s="746"/>
      <c r="N318" s="746"/>
      <c r="O318" s="746"/>
      <c r="P318" s="746"/>
      <c r="Q318" s="746"/>
      <c r="R318" s="746"/>
      <c r="S318" s="746"/>
      <c r="T318" s="746"/>
      <c r="U318" s="746"/>
      <c r="V318" s="747"/>
      <c r="W318" s="82"/>
      <c r="X318" s="722"/>
      <c r="Y318" s="699"/>
      <c r="Z318" s="697"/>
      <c r="AA318" s="698"/>
    </row>
    <row r="319" spans="1:27" ht="30" customHeight="1" thickBot="1" x14ac:dyDescent="0.25">
      <c r="A319" s="408"/>
      <c r="B319" s="339">
        <v>5440</v>
      </c>
      <c r="C319" s="251" t="s">
        <v>1638</v>
      </c>
      <c r="D319" s="550"/>
      <c r="E319" s="249"/>
      <c r="F319" s="550"/>
      <c r="G319" s="249"/>
      <c r="H319" s="550"/>
      <c r="I319" s="249"/>
      <c r="J319" s="550"/>
      <c r="K319" s="249"/>
      <c r="L319" s="550" t="s">
        <v>661</v>
      </c>
      <c r="M319" s="249"/>
      <c r="N319" s="550"/>
      <c r="O319" s="249"/>
      <c r="P319" s="550"/>
      <c r="Q319" s="249"/>
      <c r="R319" s="550"/>
      <c r="S319" s="249"/>
      <c r="T319" s="557"/>
      <c r="U319" s="558"/>
      <c r="V319" s="558"/>
      <c r="W319" s="82"/>
      <c r="X319" s="722"/>
      <c r="Y319" s="699"/>
      <c r="Z319" s="697"/>
      <c r="AA319" s="698"/>
    </row>
    <row r="320" spans="1:27" ht="30" customHeight="1" x14ac:dyDescent="0.2">
      <c r="A320" s="421"/>
      <c r="B320" s="310"/>
      <c r="C320" s="663" t="s">
        <v>1400</v>
      </c>
      <c r="D320" s="862"/>
      <c r="E320" s="863"/>
      <c r="F320" s="863"/>
      <c r="G320" s="863"/>
      <c r="H320" s="863"/>
      <c r="I320" s="863"/>
      <c r="J320" s="863"/>
      <c r="K320" s="863"/>
      <c r="L320" s="863"/>
      <c r="M320" s="863"/>
      <c r="N320" s="863"/>
      <c r="O320" s="863"/>
      <c r="P320" s="863"/>
      <c r="Q320" s="863"/>
      <c r="R320" s="863"/>
      <c r="S320" s="863"/>
      <c r="T320" s="863"/>
      <c r="U320" s="863"/>
      <c r="V320" s="946"/>
      <c r="W320" s="82"/>
      <c r="Z320" s="697"/>
      <c r="AA320" s="698"/>
    </row>
    <row r="321" spans="1:27" ht="45" customHeight="1" x14ac:dyDescent="0.2">
      <c r="A321" s="429"/>
      <c r="B321" s="313" t="s">
        <v>1453</v>
      </c>
      <c r="C321" s="244" t="s">
        <v>1479</v>
      </c>
      <c r="D321" s="744"/>
      <c r="E321" s="745"/>
      <c r="F321" s="744"/>
      <c r="G321" s="745"/>
      <c r="H321" s="744"/>
      <c r="I321" s="745"/>
      <c r="J321" s="744"/>
      <c r="K321" s="745"/>
      <c r="L321" s="744"/>
      <c r="M321" s="745"/>
      <c r="N321" s="744"/>
      <c r="O321" s="745"/>
      <c r="P321" s="744"/>
      <c r="Q321" s="745"/>
      <c r="R321" s="744"/>
      <c r="S321" s="745"/>
      <c r="T321" s="569"/>
      <c r="U321" s="71">
        <f>IF(OR(D321="s",F321="s",H321="s",J321="s",L321="s",N321="s",P321="s",R321="s"), 0, IF(OR(D321="a",F321="a",H321="a",J321="a",L321="a",N321="a",P321="a",R321="a"),V321,0))</f>
        <v>0</v>
      </c>
      <c r="V321" s="415">
        <f>IF(T321="na",0,10)</f>
        <v>10</v>
      </c>
      <c r="W321" s="82">
        <f>COUNTIF(D321:S321,"a")+COUNTIF(D321:S321,"s")+COUNTIF(T321,"na")</f>
        <v>0</v>
      </c>
      <c r="X321" s="720"/>
      <c r="Y321" s="699"/>
      <c r="Z321" s="697"/>
      <c r="AA321" s="698"/>
    </row>
    <row r="322" spans="1:27" ht="67.7" customHeight="1" x14ac:dyDescent="0.2">
      <c r="A322" s="429"/>
      <c r="B322" s="313" t="s">
        <v>1480</v>
      </c>
      <c r="C322" s="244" t="s">
        <v>1481</v>
      </c>
      <c r="D322" s="742"/>
      <c r="E322" s="743"/>
      <c r="F322" s="742"/>
      <c r="G322" s="743"/>
      <c r="H322" s="742"/>
      <c r="I322" s="743"/>
      <c r="J322" s="742"/>
      <c r="K322" s="743"/>
      <c r="L322" s="742"/>
      <c r="M322" s="743"/>
      <c r="N322" s="742"/>
      <c r="O322" s="743"/>
      <c r="P322" s="742"/>
      <c r="Q322" s="743"/>
      <c r="R322" s="742"/>
      <c r="S322" s="743"/>
      <c r="T322" s="569"/>
      <c r="U322" s="67">
        <f>IF(OR(D322="s",F322="s",H322="s",J322="s",L322="s",N322="s",P322="s",R322="s"), 0, IF(OR(D322="a",F322="a",H322="a",J322="a",L322="a",N322="a",P322="a",R322="a"),V322,0))</f>
        <v>0</v>
      </c>
      <c r="V322" s="416">
        <f>IF(T322="na",0,5)</f>
        <v>5</v>
      </c>
      <c r="W322" s="82">
        <f>COUNTIF(D322:S322,"a")+COUNTIF(T322,"na")</f>
        <v>0</v>
      </c>
      <c r="X322" s="720"/>
      <c r="Y322" s="699"/>
      <c r="Z322" s="697" t="s">
        <v>656</v>
      </c>
      <c r="AA322" s="698"/>
    </row>
    <row r="323" spans="1:27" ht="30" customHeight="1" x14ac:dyDescent="0.2">
      <c r="A323" s="421"/>
      <c r="B323" s="310"/>
      <c r="C323" s="577" t="s">
        <v>1482</v>
      </c>
      <c r="D323" s="811"/>
      <c r="E323" s="812"/>
      <c r="F323" s="812"/>
      <c r="G323" s="812"/>
      <c r="H323" s="812"/>
      <c r="I323" s="812"/>
      <c r="J323" s="812"/>
      <c r="K323" s="812"/>
      <c r="L323" s="812"/>
      <c r="M323" s="812"/>
      <c r="N323" s="812"/>
      <c r="O323" s="812"/>
      <c r="P323" s="812"/>
      <c r="Q323" s="812"/>
      <c r="R323" s="812"/>
      <c r="S323" s="812"/>
      <c r="T323" s="812"/>
      <c r="U323" s="812"/>
      <c r="V323" s="815"/>
      <c r="W323" s="82" t="str">
        <f>IF(AND(ISNUMBER(D323),COUNTIF(D322:S322,"a")),1,IF(COUNTIF(D322:S322,"a"),0,""))</f>
        <v/>
      </c>
      <c r="Z323" s="697"/>
      <c r="AA323" s="698"/>
    </row>
    <row r="324" spans="1:27" ht="45" customHeight="1" x14ac:dyDescent="0.2">
      <c r="A324" s="429"/>
      <c r="B324" s="324" t="s">
        <v>1454</v>
      </c>
      <c r="C324" s="244" t="s">
        <v>1483</v>
      </c>
      <c r="D324" s="742"/>
      <c r="E324" s="743"/>
      <c r="F324" s="742"/>
      <c r="G324" s="743"/>
      <c r="H324" s="742"/>
      <c r="I324" s="743"/>
      <c r="J324" s="742"/>
      <c r="K324" s="743"/>
      <c r="L324" s="742"/>
      <c r="M324" s="743"/>
      <c r="N324" s="742"/>
      <c r="O324" s="743"/>
      <c r="P324" s="742"/>
      <c r="Q324" s="743"/>
      <c r="R324" s="742"/>
      <c r="S324" s="743"/>
      <c r="T324" s="569"/>
      <c r="U324" s="67">
        <f>IF(OR(D324="s",F324="s",H324="s",J324="s",L324="s",N324="s",P324="s",R324="s"), 0, IF(OR(D324="a",F324="a",H324="a",J324="a",L324="a",N324="a",P324="a",R324="a"),V324,0))</f>
        <v>0</v>
      </c>
      <c r="V324" s="417">
        <f>IF(T324="na",0,5)</f>
        <v>5</v>
      </c>
      <c r="W324" s="82">
        <f>COUNTIF(D324:S324,"a")+COUNTIF(D324:S324,"s")+COUNTIF(T324,"na")</f>
        <v>0</v>
      </c>
      <c r="X324" s="720"/>
      <c r="Y324" s="699"/>
      <c r="Z324" s="697"/>
      <c r="AA324" s="698"/>
    </row>
    <row r="325" spans="1:27" ht="30" customHeight="1" x14ac:dyDescent="0.2">
      <c r="A325" s="421"/>
      <c r="B325" s="310"/>
      <c r="C325" s="663" t="s">
        <v>1401</v>
      </c>
      <c r="D325" s="862"/>
      <c r="E325" s="863"/>
      <c r="F325" s="863"/>
      <c r="G325" s="863"/>
      <c r="H325" s="863"/>
      <c r="I325" s="863"/>
      <c r="J325" s="863"/>
      <c r="K325" s="863"/>
      <c r="L325" s="863"/>
      <c r="M325" s="863"/>
      <c r="N325" s="863"/>
      <c r="O325" s="863"/>
      <c r="P325" s="863"/>
      <c r="Q325" s="863"/>
      <c r="R325" s="863"/>
      <c r="S325" s="863"/>
      <c r="T325" s="863"/>
      <c r="U325" s="863"/>
      <c r="V325" s="946"/>
      <c r="W325" s="82"/>
      <c r="AA325" s="698"/>
    </row>
    <row r="326" spans="1:27" ht="30" customHeight="1" x14ac:dyDescent="0.2">
      <c r="A326" s="421"/>
      <c r="B326" s="310"/>
      <c r="C326" s="663" t="s">
        <v>1634</v>
      </c>
      <c r="D326" s="862"/>
      <c r="E326" s="863"/>
      <c r="F326" s="863"/>
      <c r="G326" s="863"/>
      <c r="H326" s="863"/>
      <c r="I326" s="863"/>
      <c r="J326" s="863"/>
      <c r="K326" s="863"/>
      <c r="L326" s="863"/>
      <c r="M326" s="863"/>
      <c r="N326" s="863"/>
      <c r="O326" s="863"/>
      <c r="P326" s="863"/>
      <c r="Q326" s="863"/>
      <c r="R326" s="863"/>
      <c r="S326" s="863"/>
      <c r="T326" s="863"/>
      <c r="U326" s="863"/>
      <c r="V326" s="946"/>
      <c r="W326" s="82"/>
      <c r="AA326" s="698"/>
    </row>
    <row r="327" spans="1:27" ht="45" customHeight="1" x14ac:dyDescent="0.2">
      <c r="A327" s="429"/>
      <c r="B327" s="324" t="s">
        <v>1455</v>
      </c>
      <c r="C327" s="244" t="s">
        <v>1484</v>
      </c>
      <c r="D327" s="742"/>
      <c r="E327" s="743"/>
      <c r="F327" s="742"/>
      <c r="G327" s="743"/>
      <c r="H327" s="742"/>
      <c r="I327" s="743"/>
      <c r="J327" s="742"/>
      <c r="K327" s="743"/>
      <c r="L327" s="742"/>
      <c r="M327" s="743"/>
      <c r="N327" s="742"/>
      <c r="O327" s="743"/>
      <c r="P327" s="742"/>
      <c r="Q327" s="743"/>
      <c r="R327" s="742"/>
      <c r="S327" s="743"/>
      <c r="T327" s="569"/>
      <c r="U327" s="67">
        <f>IF(OR(D327="s",F327="s",H327="s",J327="s",L327="s",N327="s",P327="s",R327="s"), 0, IF(OR(D327="a",F327="a",H327="a",J327="a",L327="a",N327="a",P327="a",R327="a"),V327,0))</f>
        <v>0</v>
      </c>
      <c r="V327" s="417">
        <f>IF(T327="na",0,20)</f>
        <v>20</v>
      </c>
      <c r="W327" s="82">
        <f>COUNTIF(D327:S327,"a")+COUNTIF(D327:S327,"s")+COUNTIF(T327,"na")</f>
        <v>0</v>
      </c>
      <c r="X327" s="720"/>
      <c r="AA327" s="698"/>
    </row>
    <row r="328" spans="1:27" ht="48" customHeight="1" x14ac:dyDescent="0.2">
      <c r="A328" s="429"/>
      <c r="B328" s="335"/>
      <c r="C328" s="534" t="s">
        <v>1637</v>
      </c>
      <c r="D328" s="826" t="s">
        <v>1633</v>
      </c>
      <c r="E328" s="827"/>
      <c r="F328" s="827"/>
      <c r="G328" s="827"/>
      <c r="H328" s="827"/>
      <c r="I328" s="827"/>
      <c r="J328" s="827"/>
      <c r="K328" s="827"/>
      <c r="L328" s="827"/>
      <c r="M328" s="827"/>
      <c r="N328" s="827"/>
      <c r="O328" s="827"/>
      <c r="P328" s="827"/>
      <c r="Q328" s="827"/>
      <c r="R328" s="827"/>
      <c r="S328" s="827"/>
      <c r="T328" s="827"/>
      <c r="U328" s="827"/>
      <c r="V328" s="828"/>
      <c r="W328" s="82"/>
      <c r="X328" s="722"/>
      <c r="AA328" s="698"/>
    </row>
    <row r="329" spans="1:27" ht="27.95" customHeight="1" x14ac:dyDescent="0.2">
      <c r="A329" s="429"/>
      <c r="B329" s="335"/>
      <c r="C329" s="244" t="s">
        <v>1456</v>
      </c>
      <c r="D329" s="744"/>
      <c r="E329" s="745"/>
      <c r="F329" s="744"/>
      <c r="G329" s="745"/>
      <c r="H329" s="744"/>
      <c r="I329" s="745"/>
      <c r="J329" s="744"/>
      <c r="K329" s="745"/>
      <c r="L329" s="744"/>
      <c r="M329" s="745"/>
      <c r="N329" s="744"/>
      <c r="O329" s="745"/>
      <c r="P329" s="744"/>
      <c r="Q329" s="745"/>
      <c r="R329" s="744"/>
      <c r="S329" s="745"/>
      <c r="T329" s="757"/>
      <c r="U329" s="755"/>
      <c r="V329" s="756"/>
      <c r="W329" s="82">
        <f>IF(OR(COUNTIF($D$327:$S$327,"s"),COUNTIF($T$327,"na")),1,COUNTIF(D329:S329, "a"))</f>
        <v>0</v>
      </c>
      <c r="X329" s="720"/>
      <c r="AA329" s="698"/>
    </row>
    <row r="330" spans="1:27" ht="27.95" customHeight="1" x14ac:dyDescent="0.2">
      <c r="A330" s="429"/>
      <c r="B330" s="335"/>
      <c r="C330" s="244" t="s">
        <v>1457</v>
      </c>
      <c r="D330" s="742"/>
      <c r="E330" s="743"/>
      <c r="F330" s="742"/>
      <c r="G330" s="743"/>
      <c r="H330" s="742"/>
      <c r="I330" s="743"/>
      <c r="J330" s="742"/>
      <c r="K330" s="743"/>
      <c r="L330" s="742"/>
      <c r="M330" s="743"/>
      <c r="N330" s="742"/>
      <c r="O330" s="743"/>
      <c r="P330" s="742"/>
      <c r="Q330" s="743"/>
      <c r="R330" s="742"/>
      <c r="S330" s="743"/>
      <c r="T330" s="757"/>
      <c r="U330" s="755"/>
      <c r="V330" s="756"/>
      <c r="W330" s="82">
        <f t="shared" ref="W330:W333" si="57">IF(OR(COUNTIF($D$327:$S$327,"s"),COUNTIF($T$327,"na")),1,COUNTIF(D330:S330, "a"))</f>
        <v>0</v>
      </c>
      <c r="X330" s="720"/>
      <c r="AA330" s="698"/>
    </row>
    <row r="331" spans="1:27" ht="27.95" customHeight="1" x14ac:dyDescent="0.2">
      <c r="A331" s="429"/>
      <c r="B331" s="335"/>
      <c r="C331" s="244" t="s">
        <v>1458</v>
      </c>
      <c r="D331" s="742"/>
      <c r="E331" s="743"/>
      <c r="F331" s="742"/>
      <c r="G331" s="743"/>
      <c r="H331" s="742"/>
      <c r="I331" s="743"/>
      <c r="J331" s="742"/>
      <c r="K331" s="743"/>
      <c r="L331" s="742"/>
      <c r="M331" s="743"/>
      <c r="N331" s="742"/>
      <c r="O331" s="743"/>
      <c r="P331" s="742"/>
      <c r="Q331" s="743"/>
      <c r="R331" s="742"/>
      <c r="S331" s="743"/>
      <c r="T331" s="757"/>
      <c r="U331" s="755"/>
      <c r="V331" s="756"/>
      <c r="W331" s="82">
        <f t="shared" si="57"/>
        <v>0</v>
      </c>
      <c r="X331" s="720"/>
      <c r="AA331" s="698"/>
    </row>
    <row r="332" spans="1:27" ht="27.95" customHeight="1" x14ac:dyDescent="0.2">
      <c r="A332" s="429"/>
      <c r="B332" s="335"/>
      <c r="C332" s="244" t="s">
        <v>1459</v>
      </c>
      <c r="D332" s="742"/>
      <c r="E332" s="743"/>
      <c r="F332" s="742"/>
      <c r="G332" s="743"/>
      <c r="H332" s="742"/>
      <c r="I332" s="743"/>
      <c r="J332" s="742"/>
      <c r="K332" s="743"/>
      <c r="L332" s="742"/>
      <c r="M332" s="743"/>
      <c r="N332" s="742"/>
      <c r="O332" s="743"/>
      <c r="P332" s="742"/>
      <c r="Q332" s="743"/>
      <c r="R332" s="742"/>
      <c r="S332" s="743"/>
      <c r="T332" s="757"/>
      <c r="U332" s="755"/>
      <c r="V332" s="756"/>
      <c r="W332" s="82">
        <f t="shared" si="57"/>
        <v>0</v>
      </c>
      <c r="X332" s="720"/>
      <c r="AA332" s="698"/>
    </row>
    <row r="333" spans="1:27" ht="27.95" customHeight="1" thickBot="1" x14ac:dyDescent="0.25">
      <c r="A333" s="631"/>
      <c r="B333" s="632"/>
      <c r="C333" s="655" t="s">
        <v>1488</v>
      </c>
      <c r="D333" s="751"/>
      <c r="E333" s="752"/>
      <c r="F333" s="751"/>
      <c r="G333" s="752"/>
      <c r="H333" s="751"/>
      <c r="I333" s="752"/>
      <c r="J333" s="751"/>
      <c r="K333" s="752"/>
      <c r="L333" s="751"/>
      <c r="M333" s="752"/>
      <c r="N333" s="751"/>
      <c r="O333" s="752"/>
      <c r="P333" s="751"/>
      <c r="Q333" s="752"/>
      <c r="R333" s="751"/>
      <c r="S333" s="752"/>
      <c r="T333" s="942"/>
      <c r="U333" s="943"/>
      <c r="V333" s="944"/>
      <c r="W333" s="82">
        <f t="shared" si="57"/>
        <v>0</v>
      </c>
      <c r="X333" s="720"/>
      <c r="AA333" s="698"/>
    </row>
    <row r="334" spans="1:27" ht="30" customHeight="1" x14ac:dyDescent="0.2">
      <c r="A334" s="408"/>
      <c r="B334" s="310"/>
      <c r="C334" s="663" t="s">
        <v>1635</v>
      </c>
      <c r="D334" s="862"/>
      <c r="E334" s="863"/>
      <c r="F334" s="863"/>
      <c r="G334" s="863"/>
      <c r="H334" s="863"/>
      <c r="I334" s="863"/>
      <c r="J334" s="863"/>
      <c r="K334" s="863"/>
      <c r="L334" s="863"/>
      <c r="M334" s="863"/>
      <c r="N334" s="863"/>
      <c r="O334" s="863"/>
      <c r="P334" s="863"/>
      <c r="Q334" s="863"/>
      <c r="R334" s="863"/>
      <c r="S334" s="863"/>
      <c r="T334" s="863"/>
      <c r="U334" s="863"/>
      <c r="V334" s="946"/>
      <c r="W334" s="82"/>
      <c r="AA334" s="698"/>
    </row>
    <row r="335" spans="1:27" ht="45" customHeight="1" x14ac:dyDescent="0.2">
      <c r="A335" s="429" t="s">
        <v>716</v>
      </c>
      <c r="B335" s="324" t="s">
        <v>1461</v>
      </c>
      <c r="C335" s="244" t="s">
        <v>1806</v>
      </c>
      <c r="D335" s="742"/>
      <c r="E335" s="743"/>
      <c r="F335" s="742"/>
      <c r="G335" s="743"/>
      <c r="H335" s="742"/>
      <c r="I335" s="743"/>
      <c r="J335" s="742"/>
      <c r="K335" s="743"/>
      <c r="L335" s="742"/>
      <c r="M335" s="743"/>
      <c r="N335" s="742"/>
      <c r="O335" s="743"/>
      <c r="P335" s="742"/>
      <c r="Q335" s="743"/>
      <c r="R335" s="742"/>
      <c r="S335" s="743"/>
      <c r="T335" s="69"/>
      <c r="U335" s="67">
        <f>IF(OR(D335="s",F335="s",H335="s",J335="s",L335="s",N335="s",P335="s",R335="s"), 0, IF(OR(D335="a",F335="a",H335="a",J335="a",L335="a",N335="a",P335="a",R335="a"),V335,0))</f>
        <v>0</v>
      </c>
      <c r="V335" s="417">
        <v>15</v>
      </c>
      <c r="W335" s="82">
        <f>COUNTIF(D335:S335,"a")+COUNTIF(D335:S335,"s")</f>
        <v>0</v>
      </c>
      <c r="X335" s="720"/>
      <c r="AA335" s="698"/>
    </row>
    <row r="336" spans="1:27" ht="30" customHeight="1" x14ac:dyDescent="0.2">
      <c r="A336" s="429"/>
      <c r="B336" s="335"/>
      <c r="C336" s="534" t="s">
        <v>1460</v>
      </c>
      <c r="D336" s="776" t="s">
        <v>1632</v>
      </c>
      <c r="E336" s="777"/>
      <c r="F336" s="777"/>
      <c r="G336" s="777"/>
      <c r="H336" s="777"/>
      <c r="I336" s="777"/>
      <c r="J336" s="777"/>
      <c r="K336" s="777"/>
      <c r="L336" s="777"/>
      <c r="M336" s="777"/>
      <c r="N336" s="777"/>
      <c r="O336" s="777"/>
      <c r="P336" s="777"/>
      <c r="Q336" s="777"/>
      <c r="R336" s="777"/>
      <c r="S336" s="777"/>
      <c r="T336" s="777"/>
      <c r="U336" s="777"/>
      <c r="V336" s="778"/>
      <c r="W336" s="82"/>
      <c r="X336" s="722"/>
      <c r="AA336" s="698"/>
    </row>
    <row r="337" spans="1:27" ht="27.95" customHeight="1" x14ac:dyDescent="0.2">
      <c r="A337" s="429"/>
      <c r="B337" s="578"/>
      <c r="C337" s="244" t="s">
        <v>1485</v>
      </c>
      <c r="D337" s="744"/>
      <c r="E337" s="745"/>
      <c r="F337" s="744"/>
      <c r="G337" s="745"/>
      <c r="H337" s="744"/>
      <c r="I337" s="745"/>
      <c r="J337" s="744"/>
      <c r="K337" s="745"/>
      <c r="L337" s="744"/>
      <c r="M337" s="745"/>
      <c r="N337" s="744"/>
      <c r="O337" s="745"/>
      <c r="P337" s="744"/>
      <c r="Q337" s="745"/>
      <c r="R337" s="744"/>
      <c r="S337" s="745"/>
      <c r="T337" s="757"/>
      <c r="U337" s="755"/>
      <c r="V337" s="756"/>
      <c r="W337" s="82">
        <f>IF(COUNTIF($D$335:$S$335,"s"),1,COUNTIF(D337:S337, "a"))</f>
        <v>0</v>
      </c>
      <c r="X337" s="720"/>
      <c r="AA337" s="698"/>
    </row>
    <row r="338" spans="1:27" ht="27.95" customHeight="1" x14ac:dyDescent="0.2">
      <c r="A338" s="429"/>
      <c r="B338" s="335"/>
      <c r="C338" s="244" t="s">
        <v>1486</v>
      </c>
      <c r="D338" s="742"/>
      <c r="E338" s="743"/>
      <c r="F338" s="742"/>
      <c r="G338" s="743"/>
      <c r="H338" s="742"/>
      <c r="I338" s="743"/>
      <c r="J338" s="742"/>
      <c r="K338" s="743"/>
      <c r="L338" s="742"/>
      <c r="M338" s="743"/>
      <c r="N338" s="742"/>
      <c r="O338" s="743"/>
      <c r="P338" s="742"/>
      <c r="Q338" s="743"/>
      <c r="R338" s="742"/>
      <c r="S338" s="743"/>
      <c r="T338" s="757"/>
      <c r="U338" s="755"/>
      <c r="V338" s="756"/>
      <c r="W338" s="82">
        <f t="shared" ref="W338:W345" si="58">IF(COUNTIF($D$335:$S$335,"s"),1,COUNTIF(D338:S338, "a"))</f>
        <v>0</v>
      </c>
      <c r="X338" s="720"/>
      <c r="AA338" s="698"/>
    </row>
    <row r="339" spans="1:27" ht="27.95" customHeight="1" x14ac:dyDescent="0.2">
      <c r="A339" s="429"/>
      <c r="B339" s="335"/>
      <c r="C339" s="244" t="s">
        <v>1487</v>
      </c>
      <c r="D339" s="742"/>
      <c r="E339" s="743"/>
      <c r="F339" s="742"/>
      <c r="G339" s="743"/>
      <c r="H339" s="742"/>
      <c r="I339" s="743"/>
      <c r="J339" s="742"/>
      <c r="K339" s="743"/>
      <c r="L339" s="742"/>
      <c r="M339" s="743"/>
      <c r="N339" s="742"/>
      <c r="O339" s="743"/>
      <c r="P339" s="742"/>
      <c r="Q339" s="743"/>
      <c r="R339" s="742"/>
      <c r="S339" s="743"/>
      <c r="T339" s="757"/>
      <c r="U339" s="755"/>
      <c r="V339" s="756"/>
      <c r="W339" s="82">
        <f t="shared" si="58"/>
        <v>0</v>
      </c>
      <c r="X339" s="720"/>
      <c r="AA339" s="698"/>
    </row>
    <row r="340" spans="1:27" ht="27.95" customHeight="1" x14ac:dyDescent="0.2">
      <c r="A340" s="429"/>
      <c r="B340" s="335"/>
      <c r="C340" s="244" t="s">
        <v>1462</v>
      </c>
      <c r="D340" s="742"/>
      <c r="E340" s="743"/>
      <c r="F340" s="742"/>
      <c r="G340" s="743"/>
      <c r="H340" s="742"/>
      <c r="I340" s="743"/>
      <c r="J340" s="742"/>
      <c r="K340" s="743"/>
      <c r="L340" s="742"/>
      <c r="M340" s="743"/>
      <c r="N340" s="742"/>
      <c r="O340" s="743"/>
      <c r="P340" s="742"/>
      <c r="Q340" s="743"/>
      <c r="R340" s="742"/>
      <c r="S340" s="743"/>
      <c r="T340" s="757"/>
      <c r="U340" s="755"/>
      <c r="V340" s="756"/>
      <c r="W340" s="82">
        <f t="shared" si="58"/>
        <v>0</v>
      </c>
      <c r="X340" s="720"/>
      <c r="AA340" s="698"/>
    </row>
    <row r="341" spans="1:27" ht="27.95" customHeight="1" x14ac:dyDescent="0.2">
      <c r="A341" s="429"/>
      <c r="B341" s="337"/>
      <c r="C341" s="247" t="s">
        <v>1463</v>
      </c>
      <c r="D341" s="764"/>
      <c r="E341" s="765"/>
      <c r="F341" s="764"/>
      <c r="G341" s="765"/>
      <c r="H341" s="764"/>
      <c r="I341" s="765"/>
      <c r="J341" s="764"/>
      <c r="K341" s="765"/>
      <c r="L341" s="764"/>
      <c r="M341" s="765"/>
      <c r="N341" s="764"/>
      <c r="O341" s="765"/>
      <c r="P341" s="764"/>
      <c r="Q341" s="765"/>
      <c r="R341" s="764"/>
      <c r="S341" s="765"/>
      <c r="T341" s="757"/>
      <c r="U341" s="755"/>
      <c r="V341" s="756"/>
      <c r="W341" s="82">
        <f t="shared" si="58"/>
        <v>0</v>
      </c>
      <c r="X341" s="720"/>
      <c r="AA341" s="698"/>
    </row>
    <row r="342" spans="1:27" ht="27.95" customHeight="1" x14ac:dyDescent="0.2">
      <c r="A342" s="429"/>
      <c r="B342" s="335"/>
      <c r="C342" s="244" t="s">
        <v>1464</v>
      </c>
      <c r="D342" s="764"/>
      <c r="E342" s="765"/>
      <c r="F342" s="764"/>
      <c r="G342" s="765"/>
      <c r="H342" s="764"/>
      <c r="I342" s="765"/>
      <c r="J342" s="764"/>
      <c r="K342" s="765"/>
      <c r="L342" s="764"/>
      <c r="M342" s="765"/>
      <c r="N342" s="764"/>
      <c r="O342" s="765"/>
      <c r="P342" s="764"/>
      <c r="Q342" s="765"/>
      <c r="R342" s="764"/>
      <c r="S342" s="765"/>
      <c r="T342" s="757"/>
      <c r="U342" s="755"/>
      <c r="V342" s="756"/>
      <c r="W342" s="82">
        <f t="shared" si="58"/>
        <v>0</v>
      </c>
      <c r="X342" s="720"/>
      <c r="AA342" s="698"/>
    </row>
    <row r="343" spans="1:27" ht="27.95" customHeight="1" x14ac:dyDescent="0.2">
      <c r="A343" s="429"/>
      <c r="B343" s="335"/>
      <c r="C343" s="244" t="s">
        <v>1465</v>
      </c>
      <c r="D343" s="764"/>
      <c r="E343" s="765"/>
      <c r="F343" s="764"/>
      <c r="G343" s="765"/>
      <c r="H343" s="764"/>
      <c r="I343" s="765"/>
      <c r="J343" s="764"/>
      <c r="K343" s="765"/>
      <c r="L343" s="764"/>
      <c r="M343" s="765"/>
      <c r="N343" s="764"/>
      <c r="O343" s="765"/>
      <c r="P343" s="764"/>
      <c r="Q343" s="765"/>
      <c r="R343" s="764"/>
      <c r="S343" s="765"/>
      <c r="T343" s="757"/>
      <c r="U343" s="755"/>
      <c r="V343" s="756"/>
      <c r="W343" s="82">
        <f t="shared" si="58"/>
        <v>0</v>
      </c>
      <c r="X343" s="720"/>
      <c r="AA343" s="698"/>
    </row>
    <row r="344" spans="1:27" ht="27.95" customHeight="1" x14ac:dyDescent="0.2">
      <c r="A344" s="429"/>
      <c r="B344" s="335"/>
      <c r="C344" s="244" t="s">
        <v>1466</v>
      </c>
      <c r="D344" s="764"/>
      <c r="E344" s="765"/>
      <c r="F344" s="764"/>
      <c r="G344" s="765"/>
      <c r="H344" s="764"/>
      <c r="I344" s="765"/>
      <c r="J344" s="764"/>
      <c r="K344" s="765"/>
      <c r="L344" s="764"/>
      <c r="M344" s="765"/>
      <c r="N344" s="764"/>
      <c r="O344" s="765"/>
      <c r="P344" s="764"/>
      <c r="Q344" s="765"/>
      <c r="R344" s="764"/>
      <c r="S344" s="765"/>
      <c r="T344" s="757"/>
      <c r="U344" s="755"/>
      <c r="V344" s="756"/>
      <c r="W344" s="82">
        <f t="shared" si="58"/>
        <v>0</v>
      </c>
      <c r="X344" s="720"/>
      <c r="AA344" s="698"/>
    </row>
    <row r="345" spans="1:27" ht="27.95" customHeight="1" x14ac:dyDescent="0.2">
      <c r="A345" s="429"/>
      <c r="B345" s="335"/>
      <c r="C345" s="244" t="s">
        <v>1628</v>
      </c>
      <c r="D345" s="742"/>
      <c r="E345" s="743"/>
      <c r="F345" s="742"/>
      <c r="G345" s="743"/>
      <c r="H345" s="742"/>
      <c r="I345" s="743"/>
      <c r="J345" s="742"/>
      <c r="K345" s="743"/>
      <c r="L345" s="742"/>
      <c r="M345" s="743"/>
      <c r="N345" s="742"/>
      <c r="O345" s="743"/>
      <c r="P345" s="742"/>
      <c r="Q345" s="743"/>
      <c r="R345" s="742"/>
      <c r="S345" s="743"/>
      <c r="T345" s="757"/>
      <c r="U345" s="755"/>
      <c r="V345" s="756"/>
      <c r="W345" s="82">
        <f t="shared" si="58"/>
        <v>0</v>
      </c>
      <c r="X345" s="720"/>
      <c r="AA345" s="698"/>
    </row>
    <row r="346" spans="1:27" ht="27.95" customHeight="1" x14ac:dyDescent="0.2">
      <c r="A346" s="429"/>
      <c r="B346" s="337"/>
      <c r="C346" s="650" t="s">
        <v>1629</v>
      </c>
      <c r="D346" s="811"/>
      <c r="E346" s="812"/>
      <c r="F346" s="812"/>
      <c r="G346" s="812"/>
      <c r="H346" s="812"/>
      <c r="I346" s="812"/>
      <c r="J346" s="812"/>
      <c r="K346" s="812"/>
      <c r="L346" s="812"/>
      <c r="M346" s="812"/>
      <c r="N346" s="812"/>
      <c r="O346" s="812"/>
      <c r="P346" s="812"/>
      <c r="Q346" s="812"/>
      <c r="R346" s="812"/>
      <c r="S346" s="815"/>
      <c r="T346" s="758"/>
      <c r="U346" s="759"/>
      <c r="V346" s="760"/>
      <c r="W346" s="82" t="str">
        <f>IF(AND(ISTEXT(D346),COUNTIF(D345:S345,"a")),1,IF(COUNTIF(D345:S345,"a"),0,""))</f>
        <v/>
      </c>
      <c r="X346" s="720"/>
      <c r="AA346" s="698"/>
    </row>
    <row r="347" spans="1:27" ht="45" customHeight="1" x14ac:dyDescent="0.2">
      <c r="A347" s="429" t="s">
        <v>716</v>
      </c>
      <c r="B347" s="324" t="s">
        <v>1467</v>
      </c>
      <c r="C347" s="244" t="s">
        <v>1807</v>
      </c>
      <c r="D347" s="742"/>
      <c r="E347" s="743"/>
      <c r="F347" s="742"/>
      <c r="G347" s="743"/>
      <c r="H347" s="742"/>
      <c r="I347" s="743"/>
      <c r="J347" s="742"/>
      <c r="K347" s="743"/>
      <c r="L347" s="742"/>
      <c r="M347" s="743"/>
      <c r="N347" s="742"/>
      <c r="O347" s="743"/>
      <c r="P347" s="742"/>
      <c r="Q347" s="743"/>
      <c r="R347" s="742"/>
      <c r="S347" s="743"/>
      <c r="T347" s="69"/>
      <c r="U347" s="71">
        <f>IF(OR(D347="s",F347="s",H347="s",J347="s",L347="s",N347="s",P347="s",R347="s"), 0, IF(OR(D347="a",F347="a",H347="a",J347="a",L347="a",N347="a",P347="a",R347="a"),V347,0))</f>
        <v>0</v>
      </c>
      <c r="V347" s="420">
        <v>15</v>
      </c>
      <c r="W347" s="82">
        <f>COUNTIF(D347:S347,"a")+COUNTIF(D347:S347,"s")</f>
        <v>0</v>
      </c>
      <c r="X347" s="720"/>
      <c r="AA347" s="698"/>
    </row>
    <row r="348" spans="1:27" ht="30" customHeight="1" x14ac:dyDescent="0.2">
      <c r="A348" s="429"/>
      <c r="B348" s="335"/>
      <c r="C348" s="534" t="s">
        <v>1460</v>
      </c>
      <c r="D348" s="776" t="s">
        <v>1632</v>
      </c>
      <c r="E348" s="777"/>
      <c r="F348" s="777"/>
      <c r="G348" s="777"/>
      <c r="H348" s="777"/>
      <c r="I348" s="777"/>
      <c r="J348" s="777"/>
      <c r="K348" s="777"/>
      <c r="L348" s="777"/>
      <c r="M348" s="777"/>
      <c r="N348" s="777"/>
      <c r="O348" s="777"/>
      <c r="P348" s="777"/>
      <c r="Q348" s="777"/>
      <c r="R348" s="777"/>
      <c r="S348" s="777"/>
      <c r="T348" s="777"/>
      <c r="U348" s="777"/>
      <c r="V348" s="778"/>
      <c r="W348" s="82"/>
      <c r="X348" s="722"/>
      <c r="AA348" s="698"/>
    </row>
    <row r="349" spans="1:27" ht="27.95" customHeight="1" x14ac:dyDescent="0.2">
      <c r="A349" s="429"/>
      <c r="B349" s="578"/>
      <c r="C349" s="244" t="s">
        <v>1485</v>
      </c>
      <c r="D349" s="744"/>
      <c r="E349" s="745"/>
      <c r="F349" s="744"/>
      <c r="G349" s="745"/>
      <c r="H349" s="744"/>
      <c r="I349" s="745"/>
      <c r="J349" s="744"/>
      <c r="K349" s="745"/>
      <c r="L349" s="744"/>
      <c r="M349" s="745"/>
      <c r="N349" s="744"/>
      <c r="O349" s="745"/>
      <c r="P349" s="744"/>
      <c r="Q349" s="745"/>
      <c r="R349" s="744"/>
      <c r="S349" s="745"/>
      <c r="T349" s="757"/>
      <c r="U349" s="755"/>
      <c r="V349" s="756"/>
      <c r="W349" s="82">
        <f>IF(COUNTIF($D$347:$S$347,"s"),1,COUNTIF(D349:S349, "a"))</f>
        <v>0</v>
      </c>
      <c r="X349" s="720"/>
      <c r="AA349" s="698"/>
    </row>
    <row r="350" spans="1:27" ht="27.95" customHeight="1" x14ac:dyDescent="0.2">
      <c r="A350" s="429"/>
      <c r="B350" s="335"/>
      <c r="C350" s="244" t="s">
        <v>1486</v>
      </c>
      <c r="D350" s="742"/>
      <c r="E350" s="743"/>
      <c r="F350" s="742"/>
      <c r="G350" s="743"/>
      <c r="H350" s="742"/>
      <c r="I350" s="743"/>
      <c r="J350" s="742"/>
      <c r="K350" s="743"/>
      <c r="L350" s="742"/>
      <c r="M350" s="743"/>
      <c r="N350" s="742"/>
      <c r="O350" s="743"/>
      <c r="P350" s="742"/>
      <c r="Q350" s="743"/>
      <c r="R350" s="742"/>
      <c r="S350" s="743"/>
      <c r="T350" s="757"/>
      <c r="U350" s="755"/>
      <c r="V350" s="756"/>
      <c r="W350" s="82">
        <f t="shared" ref="W350:W357" si="59">IF(COUNTIF($D$347:$S$347,"s"),1,COUNTIF(D350:S350, "a"))</f>
        <v>0</v>
      </c>
      <c r="X350" s="720"/>
      <c r="AA350" s="698"/>
    </row>
    <row r="351" spans="1:27" ht="27.95" customHeight="1" x14ac:dyDescent="0.2">
      <c r="A351" s="429"/>
      <c r="B351" s="335"/>
      <c r="C351" s="244" t="s">
        <v>1487</v>
      </c>
      <c r="D351" s="742"/>
      <c r="E351" s="743"/>
      <c r="F351" s="742"/>
      <c r="G351" s="743"/>
      <c r="H351" s="742"/>
      <c r="I351" s="743"/>
      <c r="J351" s="742"/>
      <c r="K351" s="743"/>
      <c r="L351" s="742"/>
      <c r="M351" s="743"/>
      <c r="N351" s="742"/>
      <c r="O351" s="743"/>
      <c r="P351" s="742"/>
      <c r="Q351" s="743"/>
      <c r="R351" s="742"/>
      <c r="S351" s="743"/>
      <c r="T351" s="757"/>
      <c r="U351" s="755"/>
      <c r="V351" s="756"/>
      <c r="W351" s="82">
        <f t="shared" si="59"/>
        <v>0</v>
      </c>
      <c r="X351" s="720"/>
      <c r="AA351" s="698"/>
    </row>
    <row r="352" spans="1:27" ht="27.95" customHeight="1" x14ac:dyDescent="0.2">
      <c r="A352" s="429"/>
      <c r="B352" s="335"/>
      <c r="C352" s="244" t="s">
        <v>1462</v>
      </c>
      <c r="D352" s="742"/>
      <c r="E352" s="743"/>
      <c r="F352" s="742"/>
      <c r="G352" s="743"/>
      <c r="H352" s="742"/>
      <c r="I352" s="743"/>
      <c r="J352" s="742"/>
      <c r="K352" s="743"/>
      <c r="L352" s="742"/>
      <c r="M352" s="743"/>
      <c r="N352" s="742"/>
      <c r="O352" s="743"/>
      <c r="P352" s="742"/>
      <c r="Q352" s="743"/>
      <c r="R352" s="742"/>
      <c r="S352" s="743"/>
      <c r="T352" s="757"/>
      <c r="U352" s="755"/>
      <c r="V352" s="756"/>
      <c r="W352" s="82">
        <f t="shared" si="59"/>
        <v>0</v>
      </c>
      <c r="X352" s="720"/>
      <c r="AA352" s="698"/>
    </row>
    <row r="353" spans="1:27" ht="27.95" customHeight="1" x14ac:dyDescent="0.2">
      <c r="A353" s="429"/>
      <c r="B353" s="337"/>
      <c r="C353" s="247" t="s">
        <v>1463</v>
      </c>
      <c r="D353" s="764"/>
      <c r="E353" s="765"/>
      <c r="F353" s="764"/>
      <c r="G353" s="765"/>
      <c r="H353" s="764"/>
      <c r="I353" s="765"/>
      <c r="J353" s="764"/>
      <c r="K353" s="765"/>
      <c r="L353" s="764"/>
      <c r="M353" s="765"/>
      <c r="N353" s="764"/>
      <c r="O353" s="765"/>
      <c r="P353" s="764"/>
      <c r="Q353" s="765"/>
      <c r="R353" s="764"/>
      <c r="S353" s="765"/>
      <c r="T353" s="757"/>
      <c r="U353" s="755"/>
      <c r="V353" s="756"/>
      <c r="W353" s="82">
        <f t="shared" si="59"/>
        <v>0</v>
      </c>
      <c r="X353" s="720"/>
      <c r="AA353" s="698"/>
    </row>
    <row r="354" spans="1:27" ht="27.95" customHeight="1" x14ac:dyDescent="0.2">
      <c r="A354" s="429"/>
      <c r="B354" s="335"/>
      <c r="C354" s="244" t="s">
        <v>1464</v>
      </c>
      <c r="D354" s="742"/>
      <c r="E354" s="743"/>
      <c r="F354" s="742"/>
      <c r="G354" s="743"/>
      <c r="H354" s="742"/>
      <c r="I354" s="743"/>
      <c r="J354" s="742"/>
      <c r="K354" s="743"/>
      <c r="L354" s="742"/>
      <c r="M354" s="743"/>
      <c r="N354" s="742"/>
      <c r="O354" s="743"/>
      <c r="P354" s="742"/>
      <c r="Q354" s="743"/>
      <c r="R354" s="742"/>
      <c r="S354" s="743"/>
      <c r="T354" s="757"/>
      <c r="U354" s="755"/>
      <c r="V354" s="756"/>
      <c r="W354" s="82">
        <f t="shared" si="59"/>
        <v>0</v>
      </c>
      <c r="X354" s="720"/>
      <c r="AA354" s="698"/>
    </row>
    <row r="355" spans="1:27" ht="27.95" customHeight="1" x14ac:dyDescent="0.2">
      <c r="A355" s="429"/>
      <c r="B355" s="335"/>
      <c r="C355" s="244" t="s">
        <v>1465</v>
      </c>
      <c r="D355" s="742"/>
      <c r="E355" s="743"/>
      <c r="F355" s="742"/>
      <c r="G355" s="743"/>
      <c r="H355" s="742"/>
      <c r="I355" s="743"/>
      <c r="J355" s="742"/>
      <c r="K355" s="743"/>
      <c r="L355" s="742"/>
      <c r="M355" s="743"/>
      <c r="N355" s="742"/>
      <c r="O355" s="743"/>
      <c r="P355" s="742"/>
      <c r="Q355" s="743"/>
      <c r="R355" s="742"/>
      <c r="S355" s="743"/>
      <c r="T355" s="757"/>
      <c r="U355" s="755"/>
      <c r="V355" s="756"/>
      <c r="W355" s="82">
        <f t="shared" si="59"/>
        <v>0</v>
      </c>
      <c r="X355" s="720"/>
      <c r="AA355" s="698"/>
    </row>
    <row r="356" spans="1:27" ht="27.95" customHeight="1" x14ac:dyDescent="0.2">
      <c r="A356" s="429"/>
      <c r="B356" s="335"/>
      <c r="C356" s="244" t="s">
        <v>1466</v>
      </c>
      <c r="D356" s="742"/>
      <c r="E356" s="743"/>
      <c r="F356" s="742"/>
      <c r="G356" s="743"/>
      <c r="H356" s="742"/>
      <c r="I356" s="743"/>
      <c r="J356" s="742"/>
      <c r="K356" s="743"/>
      <c r="L356" s="742"/>
      <c r="M356" s="743"/>
      <c r="N356" s="742"/>
      <c r="O356" s="743"/>
      <c r="P356" s="742"/>
      <c r="Q356" s="743"/>
      <c r="R356" s="742"/>
      <c r="S356" s="743"/>
      <c r="T356" s="757"/>
      <c r="U356" s="755"/>
      <c r="V356" s="756"/>
      <c r="W356" s="82">
        <f t="shared" si="59"/>
        <v>0</v>
      </c>
      <c r="X356" s="720"/>
      <c r="AA356" s="698"/>
    </row>
    <row r="357" spans="1:27" ht="27.95" customHeight="1" x14ac:dyDescent="0.2">
      <c r="A357" s="429"/>
      <c r="B357" s="335"/>
      <c r="C357" s="244" t="s">
        <v>1628</v>
      </c>
      <c r="D357" s="742"/>
      <c r="E357" s="743"/>
      <c r="F357" s="742"/>
      <c r="G357" s="743"/>
      <c r="H357" s="742"/>
      <c r="I357" s="743"/>
      <c r="J357" s="742"/>
      <c r="K357" s="743"/>
      <c r="L357" s="742"/>
      <c r="M357" s="743"/>
      <c r="N357" s="742"/>
      <c r="O357" s="743"/>
      <c r="P357" s="742"/>
      <c r="Q357" s="743"/>
      <c r="R357" s="742"/>
      <c r="S357" s="743"/>
      <c r="T357" s="757"/>
      <c r="U357" s="755"/>
      <c r="V357" s="756"/>
      <c r="W357" s="82">
        <f t="shared" si="59"/>
        <v>0</v>
      </c>
      <c r="X357" s="720"/>
      <c r="AA357" s="698"/>
    </row>
    <row r="358" spans="1:27" ht="27.95" customHeight="1" thickBot="1" x14ac:dyDescent="0.25">
      <c r="A358" s="631"/>
      <c r="B358" s="632"/>
      <c r="C358" s="656" t="s">
        <v>1629</v>
      </c>
      <c r="D358" s="824"/>
      <c r="E358" s="825"/>
      <c r="F358" s="825"/>
      <c r="G358" s="825"/>
      <c r="H358" s="825"/>
      <c r="I358" s="825"/>
      <c r="J358" s="825"/>
      <c r="K358" s="825"/>
      <c r="L358" s="825"/>
      <c r="M358" s="825"/>
      <c r="N358" s="825"/>
      <c r="O358" s="825"/>
      <c r="P358" s="825"/>
      <c r="Q358" s="825"/>
      <c r="R358" s="825"/>
      <c r="S358" s="1005"/>
      <c r="T358" s="942"/>
      <c r="U358" s="943"/>
      <c r="V358" s="944"/>
      <c r="W358" s="82" t="str">
        <f>IF(AND(ISTEXT(D358),COUNTIF(D357:S357,"a")),1,IF(COUNTIF(D357:S357,"a"),0,""))</f>
        <v/>
      </c>
      <c r="X358" s="720"/>
      <c r="AA358" s="698"/>
    </row>
    <row r="359" spans="1:27" ht="30" customHeight="1" x14ac:dyDescent="0.2">
      <c r="A359" s="408"/>
      <c r="B359" s="310"/>
      <c r="C359" s="663" t="s">
        <v>1636</v>
      </c>
      <c r="D359" s="862"/>
      <c r="E359" s="863"/>
      <c r="F359" s="863"/>
      <c r="G359" s="863"/>
      <c r="H359" s="863"/>
      <c r="I359" s="863"/>
      <c r="J359" s="863"/>
      <c r="K359" s="863"/>
      <c r="L359" s="863"/>
      <c r="M359" s="863"/>
      <c r="N359" s="863"/>
      <c r="O359" s="863"/>
      <c r="P359" s="863"/>
      <c r="Q359" s="863"/>
      <c r="R359" s="863"/>
      <c r="S359" s="863"/>
      <c r="T359" s="863"/>
      <c r="U359" s="863"/>
      <c r="V359" s="946"/>
      <c r="W359" s="82"/>
      <c r="AA359" s="698"/>
    </row>
    <row r="360" spans="1:27" ht="45" customHeight="1" x14ac:dyDescent="0.2">
      <c r="A360" s="429" t="s">
        <v>716</v>
      </c>
      <c r="B360" s="324" t="s">
        <v>1468</v>
      </c>
      <c r="C360" s="244" t="s">
        <v>1808</v>
      </c>
      <c r="D360" s="742"/>
      <c r="E360" s="743"/>
      <c r="F360" s="742"/>
      <c r="G360" s="743"/>
      <c r="H360" s="742"/>
      <c r="I360" s="743"/>
      <c r="J360" s="742"/>
      <c r="K360" s="743"/>
      <c r="L360" s="742"/>
      <c r="M360" s="743"/>
      <c r="N360" s="742"/>
      <c r="O360" s="743"/>
      <c r="P360" s="742"/>
      <c r="Q360" s="743"/>
      <c r="R360" s="742"/>
      <c r="S360" s="743"/>
      <c r="T360" s="69"/>
      <c r="U360" s="67">
        <f>IF(OR(D360="s",F360="s",H360="s",J360="s",L360="s",N360="s",P360="s",R360="s"), 0, IF(OR(D360="a",F360="a",H360="a",J360="a",L360="a",N360="a",P360="a",R360="a"),V360,0))</f>
        <v>0</v>
      </c>
      <c r="V360" s="417">
        <v>25</v>
      </c>
      <c r="W360" s="82">
        <f>COUNTIF(D360:S360,"a")+COUNTIF(D360:S360,"s")</f>
        <v>0</v>
      </c>
      <c r="X360" s="720"/>
      <c r="AA360" s="698"/>
    </row>
    <row r="361" spans="1:27" ht="30" customHeight="1" x14ac:dyDescent="0.2">
      <c r="A361" s="429"/>
      <c r="B361" s="335"/>
      <c r="C361" s="534" t="s">
        <v>1470</v>
      </c>
      <c r="D361" s="776" t="s">
        <v>1632</v>
      </c>
      <c r="E361" s="777"/>
      <c r="F361" s="777"/>
      <c r="G361" s="777"/>
      <c r="H361" s="777"/>
      <c r="I361" s="777"/>
      <c r="J361" s="777"/>
      <c r="K361" s="777"/>
      <c r="L361" s="777"/>
      <c r="M361" s="777"/>
      <c r="N361" s="777"/>
      <c r="O361" s="777"/>
      <c r="P361" s="777"/>
      <c r="Q361" s="777"/>
      <c r="R361" s="777"/>
      <c r="S361" s="777"/>
      <c r="T361" s="777"/>
      <c r="U361" s="777"/>
      <c r="V361" s="778"/>
      <c r="W361" s="82"/>
      <c r="X361" s="722"/>
      <c r="AA361" s="698"/>
    </row>
    <row r="362" spans="1:27" ht="27.95" customHeight="1" x14ac:dyDescent="0.2">
      <c r="A362" s="429"/>
      <c r="B362" s="578"/>
      <c r="C362" s="244" t="s">
        <v>1471</v>
      </c>
      <c r="D362" s="744"/>
      <c r="E362" s="745"/>
      <c r="F362" s="744"/>
      <c r="G362" s="745"/>
      <c r="H362" s="744"/>
      <c r="I362" s="745"/>
      <c r="J362" s="744"/>
      <c r="K362" s="745"/>
      <c r="L362" s="744"/>
      <c r="M362" s="745"/>
      <c r="N362" s="744"/>
      <c r="O362" s="745"/>
      <c r="P362" s="744"/>
      <c r="Q362" s="745"/>
      <c r="R362" s="744"/>
      <c r="S362" s="745"/>
      <c r="T362" s="757"/>
      <c r="U362" s="755"/>
      <c r="V362" s="756"/>
      <c r="W362" s="82">
        <f>IF(COUNTIF($D$360:$S$360,"s"),1,COUNTIF(D362:S362, "a"))</f>
        <v>0</v>
      </c>
      <c r="X362" s="720"/>
      <c r="AA362" s="698"/>
    </row>
    <row r="363" spans="1:27" ht="27.95" customHeight="1" x14ac:dyDescent="0.2">
      <c r="A363" s="429"/>
      <c r="B363" s="335"/>
      <c r="C363" s="244" t="s">
        <v>1472</v>
      </c>
      <c r="D363" s="742"/>
      <c r="E363" s="743"/>
      <c r="F363" s="742"/>
      <c r="G363" s="743"/>
      <c r="H363" s="742"/>
      <c r="I363" s="743"/>
      <c r="J363" s="742"/>
      <c r="K363" s="743"/>
      <c r="L363" s="742"/>
      <c r="M363" s="743"/>
      <c r="N363" s="742"/>
      <c r="O363" s="743"/>
      <c r="P363" s="742"/>
      <c r="Q363" s="743"/>
      <c r="R363" s="742"/>
      <c r="S363" s="743"/>
      <c r="T363" s="757"/>
      <c r="U363" s="755"/>
      <c r="V363" s="756"/>
      <c r="W363" s="82">
        <f t="shared" ref="W363:W367" si="60">IF(COUNTIF($D$360:$S$360,"s"),1,COUNTIF(D363:S363, "a"))</f>
        <v>0</v>
      </c>
      <c r="X363" s="720"/>
      <c r="AA363" s="698"/>
    </row>
    <row r="364" spans="1:27" ht="27.95" customHeight="1" x14ac:dyDescent="0.2">
      <c r="A364" s="429"/>
      <c r="B364" s="335"/>
      <c r="C364" s="244" t="s">
        <v>1473</v>
      </c>
      <c r="D364" s="742"/>
      <c r="E364" s="743"/>
      <c r="F364" s="742"/>
      <c r="G364" s="743"/>
      <c r="H364" s="742"/>
      <c r="I364" s="743"/>
      <c r="J364" s="742"/>
      <c r="K364" s="743"/>
      <c r="L364" s="742"/>
      <c r="M364" s="743"/>
      <c r="N364" s="742"/>
      <c r="O364" s="743"/>
      <c r="P364" s="742"/>
      <c r="Q364" s="743"/>
      <c r="R364" s="742"/>
      <c r="S364" s="743"/>
      <c r="T364" s="757"/>
      <c r="U364" s="755"/>
      <c r="V364" s="756"/>
      <c r="W364" s="82">
        <f t="shared" si="60"/>
        <v>0</v>
      </c>
      <c r="X364" s="720"/>
      <c r="AA364" s="698"/>
    </row>
    <row r="365" spans="1:27" ht="27.95" customHeight="1" x14ac:dyDescent="0.2">
      <c r="A365" s="429"/>
      <c r="B365" s="335"/>
      <c r="C365" s="244" t="s">
        <v>1474</v>
      </c>
      <c r="D365" s="742"/>
      <c r="E365" s="743"/>
      <c r="F365" s="742"/>
      <c r="G365" s="743"/>
      <c r="H365" s="742"/>
      <c r="I365" s="743"/>
      <c r="J365" s="742"/>
      <c r="K365" s="743"/>
      <c r="L365" s="742"/>
      <c r="M365" s="743"/>
      <c r="N365" s="742"/>
      <c r="O365" s="743"/>
      <c r="P365" s="742"/>
      <c r="Q365" s="743"/>
      <c r="R365" s="742"/>
      <c r="S365" s="743"/>
      <c r="T365" s="757"/>
      <c r="U365" s="755"/>
      <c r="V365" s="756"/>
      <c r="W365" s="82">
        <f t="shared" si="60"/>
        <v>0</v>
      </c>
      <c r="X365" s="720"/>
      <c r="AA365" s="698"/>
    </row>
    <row r="366" spans="1:27" ht="27.95" customHeight="1" x14ac:dyDescent="0.2">
      <c r="A366" s="429"/>
      <c r="B366" s="337"/>
      <c r="C366" s="247" t="s">
        <v>1475</v>
      </c>
      <c r="D366" s="764"/>
      <c r="E366" s="765"/>
      <c r="F366" s="764"/>
      <c r="G366" s="765"/>
      <c r="H366" s="764"/>
      <c r="I366" s="765"/>
      <c r="J366" s="764"/>
      <c r="K366" s="765"/>
      <c r="L366" s="764"/>
      <c r="M366" s="765"/>
      <c r="N366" s="764"/>
      <c r="O366" s="765"/>
      <c r="P366" s="764"/>
      <c r="Q366" s="765"/>
      <c r="R366" s="764"/>
      <c r="S366" s="765"/>
      <c r="T366" s="757"/>
      <c r="U366" s="755"/>
      <c r="V366" s="756"/>
      <c r="W366" s="82">
        <f t="shared" si="60"/>
        <v>0</v>
      </c>
      <c r="X366" s="720"/>
      <c r="AA366" s="698"/>
    </row>
    <row r="367" spans="1:27" ht="27.95" customHeight="1" x14ac:dyDescent="0.2">
      <c r="A367" s="429"/>
      <c r="B367" s="335"/>
      <c r="C367" s="244" t="s">
        <v>1628</v>
      </c>
      <c r="D367" s="742"/>
      <c r="E367" s="743"/>
      <c r="F367" s="742"/>
      <c r="G367" s="743"/>
      <c r="H367" s="742"/>
      <c r="I367" s="743"/>
      <c r="J367" s="742"/>
      <c r="K367" s="743"/>
      <c r="L367" s="742"/>
      <c r="M367" s="743"/>
      <c r="N367" s="742"/>
      <c r="O367" s="743"/>
      <c r="P367" s="742"/>
      <c r="Q367" s="743"/>
      <c r="R367" s="742"/>
      <c r="S367" s="743"/>
      <c r="T367" s="757"/>
      <c r="U367" s="755"/>
      <c r="V367" s="756"/>
      <c r="W367" s="82">
        <f t="shared" si="60"/>
        <v>0</v>
      </c>
      <c r="X367" s="720"/>
      <c r="AA367" s="698"/>
    </row>
    <row r="368" spans="1:27" ht="27.95" customHeight="1" x14ac:dyDescent="0.2">
      <c r="A368" s="429"/>
      <c r="B368" s="335"/>
      <c r="C368" s="626" t="s">
        <v>1629</v>
      </c>
      <c r="D368" s="811"/>
      <c r="E368" s="812"/>
      <c r="F368" s="812"/>
      <c r="G368" s="812"/>
      <c r="H368" s="812"/>
      <c r="I368" s="812"/>
      <c r="J368" s="812"/>
      <c r="K368" s="812"/>
      <c r="L368" s="812"/>
      <c r="M368" s="812"/>
      <c r="N368" s="812"/>
      <c r="O368" s="812"/>
      <c r="P368" s="812"/>
      <c r="Q368" s="812"/>
      <c r="R368" s="812"/>
      <c r="S368" s="815"/>
      <c r="T368" s="758"/>
      <c r="U368" s="759"/>
      <c r="V368" s="760"/>
      <c r="W368" s="82" t="str">
        <f>IF(AND(ISTEXT(D368),COUNTIF(D367:S367,"a")),1,IF(COUNTIF(D367:S367,"a"),0,""))</f>
        <v/>
      </c>
      <c r="X368" s="720"/>
      <c r="AA368" s="698"/>
    </row>
    <row r="369" spans="1:27" ht="45" customHeight="1" x14ac:dyDescent="0.2">
      <c r="A369" s="429" t="s">
        <v>716</v>
      </c>
      <c r="B369" s="324" t="s">
        <v>1469</v>
      </c>
      <c r="C369" s="244" t="s">
        <v>1809</v>
      </c>
      <c r="D369" s="742"/>
      <c r="E369" s="743"/>
      <c r="F369" s="742"/>
      <c r="G369" s="743"/>
      <c r="H369" s="742"/>
      <c r="I369" s="743"/>
      <c r="J369" s="742"/>
      <c r="K369" s="743"/>
      <c r="L369" s="742"/>
      <c r="M369" s="743"/>
      <c r="N369" s="742"/>
      <c r="O369" s="743"/>
      <c r="P369" s="742"/>
      <c r="Q369" s="743"/>
      <c r="R369" s="742"/>
      <c r="S369" s="743"/>
      <c r="T369" s="69"/>
      <c r="U369" s="67">
        <f>IF(OR(D369="s",F369="s",H369="s",J369="s",L369="s",N369="s",P369="s",R369="s"), 0, IF(OR(D369="a",F369="a",H369="a",J369="a",L369="a",N369="a",P369="a",R369="a"),V369,0))</f>
        <v>0</v>
      </c>
      <c r="V369" s="417">
        <v>25</v>
      </c>
      <c r="W369" s="82">
        <f>COUNTIF(D369:S369,"a")+COUNTIF(D369:S369,"s")</f>
        <v>0</v>
      </c>
      <c r="X369" s="720"/>
      <c r="AA369" s="698"/>
    </row>
    <row r="370" spans="1:27" ht="30" customHeight="1" x14ac:dyDescent="0.2">
      <c r="A370" s="429"/>
      <c r="B370" s="335"/>
      <c r="C370" s="534" t="s">
        <v>1470</v>
      </c>
      <c r="D370" s="776" t="s">
        <v>1632</v>
      </c>
      <c r="E370" s="777"/>
      <c r="F370" s="777"/>
      <c r="G370" s="777"/>
      <c r="H370" s="777"/>
      <c r="I370" s="777"/>
      <c r="J370" s="777"/>
      <c r="K370" s="777"/>
      <c r="L370" s="777"/>
      <c r="M370" s="777"/>
      <c r="N370" s="777"/>
      <c r="O370" s="777"/>
      <c r="P370" s="777"/>
      <c r="Q370" s="777"/>
      <c r="R370" s="777"/>
      <c r="S370" s="777"/>
      <c r="T370" s="777"/>
      <c r="U370" s="777"/>
      <c r="V370" s="778"/>
      <c r="W370" s="82"/>
      <c r="X370" s="722"/>
      <c r="AA370" s="698"/>
    </row>
    <row r="371" spans="1:27" ht="27.95" customHeight="1" x14ac:dyDescent="0.2">
      <c r="A371" s="429"/>
      <c r="B371" s="578"/>
      <c r="C371" s="244" t="s">
        <v>1471</v>
      </c>
      <c r="D371" s="744"/>
      <c r="E371" s="745"/>
      <c r="F371" s="744"/>
      <c r="G371" s="745"/>
      <c r="H371" s="744"/>
      <c r="I371" s="745"/>
      <c r="J371" s="744"/>
      <c r="K371" s="745"/>
      <c r="L371" s="744"/>
      <c r="M371" s="745"/>
      <c r="N371" s="744"/>
      <c r="O371" s="745"/>
      <c r="P371" s="744"/>
      <c r="Q371" s="745"/>
      <c r="R371" s="744"/>
      <c r="S371" s="745"/>
      <c r="T371" s="757"/>
      <c r="U371" s="755"/>
      <c r="V371" s="756"/>
      <c r="W371" s="82">
        <f>IF(COUNTIF($D$369:$S$369,"s"),1,COUNTIF(D371:S371, "a"))</f>
        <v>0</v>
      </c>
      <c r="X371" s="720"/>
      <c r="AA371" s="698"/>
    </row>
    <row r="372" spans="1:27" ht="27.95" customHeight="1" x14ac:dyDescent="0.2">
      <c r="A372" s="429"/>
      <c r="B372" s="335"/>
      <c r="C372" s="244" t="s">
        <v>1472</v>
      </c>
      <c r="D372" s="742"/>
      <c r="E372" s="743"/>
      <c r="F372" s="742"/>
      <c r="G372" s="743"/>
      <c r="H372" s="742"/>
      <c r="I372" s="743"/>
      <c r="J372" s="742"/>
      <c r="K372" s="743"/>
      <c r="L372" s="742"/>
      <c r="M372" s="743"/>
      <c r="N372" s="742"/>
      <c r="O372" s="743"/>
      <c r="P372" s="742"/>
      <c r="Q372" s="743"/>
      <c r="R372" s="742"/>
      <c r="S372" s="743"/>
      <c r="T372" s="757"/>
      <c r="U372" s="755"/>
      <c r="V372" s="756"/>
      <c r="W372" s="82">
        <f t="shared" ref="W372:W376" si="61">IF(COUNTIF($D$369:$S$369,"s"),1,COUNTIF(D372:S372, "a"))</f>
        <v>0</v>
      </c>
      <c r="X372" s="720"/>
      <c r="AA372" s="698"/>
    </row>
    <row r="373" spans="1:27" ht="27.95" customHeight="1" x14ac:dyDescent="0.2">
      <c r="A373" s="429"/>
      <c r="B373" s="335"/>
      <c r="C373" s="244" t="s">
        <v>1473</v>
      </c>
      <c r="D373" s="742"/>
      <c r="E373" s="743"/>
      <c r="F373" s="742"/>
      <c r="G373" s="743"/>
      <c r="H373" s="742"/>
      <c r="I373" s="743"/>
      <c r="J373" s="742"/>
      <c r="K373" s="743"/>
      <c r="L373" s="742"/>
      <c r="M373" s="743"/>
      <c r="N373" s="742"/>
      <c r="O373" s="743"/>
      <c r="P373" s="742"/>
      <c r="Q373" s="743"/>
      <c r="R373" s="742"/>
      <c r="S373" s="743"/>
      <c r="T373" s="757"/>
      <c r="U373" s="755"/>
      <c r="V373" s="756"/>
      <c r="W373" s="82">
        <f t="shared" si="61"/>
        <v>0</v>
      </c>
      <c r="X373" s="720"/>
      <c r="Y373" s="699"/>
      <c r="Z373" s="697"/>
      <c r="AA373" s="698"/>
    </row>
    <row r="374" spans="1:27" ht="27.95" customHeight="1" x14ac:dyDescent="0.2">
      <c r="A374" s="429"/>
      <c r="B374" s="335"/>
      <c r="C374" s="244" t="s">
        <v>1474</v>
      </c>
      <c r="D374" s="742"/>
      <c r="E374" s="743"/>
      <c r="F374" s="742"/>
      <c r="G374" s="743"/>
      <c r="H374" s="742"/>
      <c r="I374" s="743"/>
      <c r="J374" s="742"/>
      <c r="K374" s="743"/>
      <c r="L374" s="742"/>
      <c r="M374" s="743"/>
      <c r="N374" s="742"/>
      <c r="O374" s="743"/>
      <c r="P374" s="742"/>
      <c r="Q374" s="743"/>
      <c r="R374" s="742"/>
      <c r="S374" s="743"/>
      <c r="T374" s="757"/>
      <c r="U374" s="755"/>
      <c r="V374" s="756"/>
      <c r="W374" s="82">
        <f t="shared" si="61"/>
        <v>0</v>
      </c>
      <c r="X374" s="720"/>
      <c r="Y374" s="699"/>
      <c r="Z374" s="697"/>
      <c r="AA374" s="698"/>
    </row>
    <row r="375" spans="1:27" ht="27.95" customHeight="1" x14ac:dyDescent="0.2">
      <c r="A375" s="429"/>
      <c r="B375" s="337"/>
      <c r="C375" s="247" t="s">
        <v>1475</v>
      </c>
      <c r="D375" s="764"/>
      <c r="E375" s="765"/>
      <c r="F375" s="764"/>
      <c r="G375" s="765"/>
      <c r="H375" s="764"/>
      <c r="I375" s="765"/>
      <c r="J375" s="764"/>
      <c r="K375" s="765"/>
      <c r="L375" s="764"/>
      <c r="M375" s="765"/>
      <c r="N375" s="764"/>
      <c r="O375" s="765"/>
      <c r="P375" s="764"/>
      <c r="Q375" s="765"/>
      <c r="R375" s="764"/>
      <c r="S375" s="765"/>
      <c r="T375" s="757"/>
      <c r="U375" s="755"/>
      <c r="V375" s="756"/>
      <c r="W375" s="82">
        <f t="shared" si="61"/>
        <v>0</v>
      </c>
      <c r="X375" s="720"/>
      <c r="Y375" s="699"/>
      <c r="Z375" s="697"/>
      <c r="AA375" s="698"/>
    </row>
    <row r="376" spans="1:27" ht="27.95" customHeight="1" x14ac:dyDescent="0.2">
      <c r="A376" s="429"/>
      <c r="B376" s="335"/>
      <c r="C376" s="244" t="s">
        <v>1628</v>
      </c>
      <c r="D376" s="742"/>
      <c r="E376" s="743"/>
      <c r="F376" s="742"/>
      <c r="G376" s="743"/>
      <c r="H376" s="742"/>
      <c r="I376" s="743"/>
      <c r="J376" s="742"/>
      <c r="K376" s="743"/>
      <c r="L376" s="742"/>
      <c r="M376" s="743"/>
      <c r="N376" s="742"/>
      <c r="O376" s="743"/>
      <c r="P376" s="742"/>
      <c r="Q376" s="743"/>
      <c r="R376" s="742"/>
      <c r="S376" s="743"/>
      <c r="T376" s="757"/>
      <c r="U376" s="755"/>
      <c r="V376" s="756"/>
      <c r="W376" s="82">
        <f t="shared" si="61"/>
        <v>0</v>
      </c>
      <c r="X376" s="720"/>
      <c r="Y376" s="699"/>
      <c r="Z376" s="697"/>
      <c r="AA376" s="698"/>
    </row>
    <row r="377" spans="1:27" ht="27.95" customHeight="1" x14ac:dyDescent="0.2">
      <c r="A377" s="429"/>
      <c r="B377" s="335"/>
      <c r="C377" s="626" t="s">
        <v>1629</v>
      </c>
      <c r="D377" s="811"/>
      <c r="E377" s="812"/>
      <c r="F377" s="812"/>
      <c r="G377" s="812"/>
      <c r="H377" s="812"/>
      <c r="I377" s="812"/>
      <c r="J377" s="812"/>
      <c r="K377" s="812"/>
      <c r="L377" s="812"/>
      <c r="M377" s="812"/>
      <c r="N377" s="812"/>
      <c r="O377" s="812"/>
      <c r="P377" s="812"/>
      <c r="Q377" s="812"/>
      <c r="R377" s="812"/>
      <c r="S377" s="815"/>
      <c r="T377" s="758"/>
      <c r="U377" s="759"/>
      <c r="V377" s="760"/>
      <c r="W377" s="82" t="str">
        <f>IF(AND(ISTEXT(D377),COUNTIF(D376:S376,"a")),1,IF(COUNTIF(D376:S376,"a"),0,""))</f>
        <v/>
      </c>
      <c r="X377" s="720"/>
      <c r="Y377" s="699"/>
      <c r="Z377" s="697"/>
      <c r="AA377" s="698"/>
    </row>
    <row r="378" spans="1:27" ht="27.95" customHeight="1" x14ac:dyDescent="0.2">
      <c r="A378" s="429"/>
      <c r="B378" s="324" t="s">
        <v>1476</v>
      </c>
      <c r="C378" s="244" t="s">
        <v>1489</v>
      </c>
      <c r="D378" s="742"/>
      <c r="E378" s="743"/>
      <c r="F378" s="742"/>
      <c r="G378" s="743"/>
      <c r="H378" s="742"/>
      <c r="I378" s="743"/>
      <c r="J378" s="742"/>
      <c r="K378" s="743"/>
      <c r="L378" s="742"/>
      <c r="M378" s="743"/>
      <c r="N378" s="742"/>
      <c r="O378" s="743"/>
      <c r="P378" s="742"/>
      <c r="Q378" s="743"/>
      <c r="R378" s="742"/>
      <c r="S378" s="743"/>
      <c r="T378" s="69"/>
      <c r="U378" s="71">
        <f>IF(OR(D378="s",F378="s",H378="s",J378="s",L378="s",N378="s",P378="s",R378="s"), 0, IF(OR(D378="a",F378="a",H378="a",J378="a",L378="a",N378="a",P378="a",R378="a"),V378,0))</f>
        <v>0</v>
      </c>
      <c r="V378" s="420">
        <v>25</v>
      </c>
      <c r="W378" s="82">
        <f>COUNTIF(D378:S378,"a")+COUNTIF(D378:S378,"s")</f>
        <v>0</v>
      </c>
      <c r="X378" s="720"/>
      <c r="Y378" s="699"/>
      <c r="Z378" s="697"/>
      <c r="AA378" s="698"/>
    </row>
    <row r="379" spans="1:27" ht="30" customHeight="1" x14ac:dyDescent="0.2">
      <c r="A379" s="429"/>
      <c r="B379" s="335"/>
      <c r="C379" s="534" t="s">
        <v>1477</v>
      </c>
      <c r="D379" s="776" t="s">
        <v>1632</v>
      </c>
      <c r="E379" s="777"/>
      <c r="F379" s="777"/>
      <c r="G379" s="777"/>
      <c r="H379" s="777"/>
      <c r="I379" s="777"/>
      <c r="J379" s="777"/>
      <c r="K379" s="777"/>
      <c r="L379" s="777"/>
      <c r="M379" s="777"/>
      <c r="N379" s="777"/>
      <c r="O379" s="777"/>
      <c r="P379" s="777"/>
      <c r="Q379" s="777"/>
      <c r="R379" s="777"/>
      <c r="S379" s="777"/>
      <c r="T379" s="777"/>
      <c r="U379" s="777"/>
      <c r="V379" s="778"/>
      <c r="W379" s="82"/>
      <c r="X379" s="722"/>
      <c r="Y379" s="699"/>
      <c r="Z379" s="697"/>
      <c r="AA379" s="698"/>
    </row>
    <row r="380" spans="1:27" ht="27.95" customHeight="1" x14ac:dyDescent="0.2">
      <c r="A380" s="429"/>
      <c r="B380" s="578"/>
      <c r="C380" s="244" t="s">
        <v>1630</v>
      </c>
      <c r="D380" s="744"/>
      <c r="E380" s="745"/>
      <c r="F380" s="744"/>
      <c r="G380" s="745"/>
      <c r="H380" s="744"/>
      <c r="I380" s="745"/>
      <c r="J380" s="744"/>
      <c r="K380" s="745"/>
      <c r="L380" s="744"/>
      <c r="M380" s="745"/>
      <c r="N380" s="744"/>
      <c r="O380" s="745"/>
      <c r="P380" s="744"/>
      <c r="Q380" s="745"/>
      <c r="R380" s="744"/>
      <c r="S380" s="745"/>
      <c r="T380" s="1010"/>
      <c r="U380" s="1011"/>
      <c r="V380" s="1012"/>
      <c r="W380" s="82">
        <f>IF(COUNTIF($D$378:$S$378,"s"),1,COUNTIF(D380:S380, "a"))</f>
        <v>0</v>
      </c>
      <c r="X380" s="720"/>
      <c r="Y380" s="699"/>
      <c r="Z380" s="697"/>
      <c r="AA380" s="698"/>
    </row>
    <row r="381" spans="1:27" ht="27.95" customHeight="1" x14ac:dyDescent="0.2">
      <c r="A381" s="429"/>
      <c r="B381" s="335"/>
      <c r="C381" s="244" t="s">
        <v>1478</v>
      </c>
      <c r="D381" s="742"/>
      <c r="E381" s="743"/>
      <c r="F381" s="742"/>
      <c r="G381" s="743"/>
      <c r="H381" s="742"/>
      <c r="I381" s="743"/>
      <c r="J381" s="742"/>
      <c r="K381" s="743"/>
      <c r="L381" s="742"/>
      <c r="M381" s="743"/>
      <c r="N381" s="742"/>
      <c r="O381" s="743"/>
      <c r="P381" s="742"/>
      <c r="Q381" s="743"/>
      <c r="R381" s="742"/>
      <c r="S381" s="743"/>
      <c r="T381" s="1010"/>
      <c r="U381" s="1011"/>
      <c r="V381" s="1012"/>
      <c r="W381" s="82">
        <f t="shared" ref="W381:W382" si="62">IF(COUNTIF($D$378:$S$378,"s"),1,COUNTIF(D381:S381, "a"))</f>
        <v>0</v>
      </c>
      <c r="X381" s="720"/>
      <c r="Y381" s="699"/>
      <c r="Z381" s="697"/>
      <c r="AA381" s="698"/>
    </row>
    <row r="382" spans="1:27" ht="27.95" customHeight="1" x14ac:dyDescent="0.2">
      <c r="A382" s="429"/>
      <c r="B382" s="335"/>
      <c r="C382" s="244" t="s">
        <v>1628</v>
      </c>
      <c r="D382" s="742"/>
      <c r="E382" s="743"/>
      <c r="F382" s="742"/>
      <c r="G382" s="743"/>
      <c r="H382" s="742"/>
      <c r="I382" s="743"/>
      <c r="J382" s="742"/>
      <c r="K382" s="743"/>
      <c r="L382" s="742"/>
      <c r="M382" s="743"/>
      <c r="N382" s="742"/>
      <c r="O382" s="743"/>
      <c r="P382" s="742"/>
      <c r="Q382" s="743"/>
      <c r="R382" s="742"/>
      <c r="S382" s="743"/>
      <c r="T382" s="1010"/>
      <c r="U382" s="1011"/>
      <c r="V382" s="1012"/>
      <c r="W382" s="82">
        <f t="shared" si="62"/>
        <v>0</v>
      </c>
      <c r="X382" s="720"/>
      <c r="Y382" s="699"/>
      <c r="Z382" s="697"/>
      <c r="AA382" s="698"/>
    </row>
    <row r="383" spans="1:27" ht="27.95" customHeight="1" x14ac:dyDescent="0.2">
      <c r="A383" s="429"/>
      <c r="B383" s="335"/>
      <c r="C383" s="626" t="s">
        <v>1631</v>
      </c>
      <c r="D383" s="993"/>
      <c r="E383" s="994"/>
      <c r="F383" s="994"/>
      <c r="G383" s="994"/>
      <c r="H383" s="994"/>
      <c r="I383" s="994"/>
      <c r="J383" s="994"/>
      <c r="K383" s="994"/>
      <c r="L383" s="994"/>
      <c r="M383" s="994"/>
      <c r="N383" s="994"/>
      <c r="O383" s="994"/>
      <c r="P383" s="994"/>
      <c r="Q383" s="994"/>
      <c r="R383" s="994"/>
      <c r="S383" s="995"/>
      <c r="T383" s="1010"/>
      <c r="U383" s="1011"/>
      <c r="V383" s="1012"/>
      <c r="W383" s="82" t="str">
        <f>IF(AND(ISTEXT(D383),COUNTIF(D380:S380,"a")),1,IF(COUNTIF(D380:S380,"a"),0,""))</f>
        <v/>
      </c>
      <c r="X383" s="720"/>
      <c r="Y383" s="699"/>
      <c r="Z383" s="697"/>
      <c r="AA383" s="698"/>
    </row>
    <row r="384" spans="1:27" ht="27.95" customHeight="1" x14ac:dyDescent="0.2">
      <c r="A384" s="429"/>
      <c r="B384" s="335"/>
      <c r="C384" s="626" t="s">
        <v>1629</v>
      </c>
      <c r="D384" s="811"/>
      <c r="E384" s="812"/>
      <c r="F384" s="812"/>
      <c r="G384" s="812"/>
      <c r="H384" s="812"/>
      <c r="I384" s="812"/>
      <c r="J384" s="812"/>
      <c r="K384" s="812"/>
      <c r="L384" s="812"/>
      <c r="M384" s="812"/>
      <c r="N384" s="812"/>
      <c r="O384" s="812"/>
      <c r="P384" s="812"/>
      <c r="Q384" s="812"/>
      <c r="R384" s="812"/>
      <c r="S384" s="815"/>
      <c r="T384" s="1013"/>
      <c r="U384" s="1014"/>
      <c r="V384" s="1015"/>
      <c r="W384" s="82" t="str">
        <f>IF(AND(ISTEXT(D384),COUNTIF(D382:S382,"a")),1,IF(COUNTIF(D382:S382,"a"),0,""))</f>
        <v/>
      </c>
      <c r="X384" s="720"/>
      <c r="Y384" s="699"/>
      <c r="Z384" s="697"/>
      <c r="AA384" s="698"/>
    </row>
    <row r="385" spans="1:27" ht="30" customHeight="1" x14ac:dyDescent="0.2">
      <c r="A385" s="421"/>
      <c r="B385" s="319"/>
      <c r="C385" s="661" t="s">
        <v>1403</v>
      </c>
      <c r="D385" s="969"/>
      <c r="E385" s="970"/>
      <c r="F385" s="970"/>
      <c r="G385" s="970"/>
      <c r="H385" s="970"/>
      <c r="I385" s="970"/>
      <c r="J385" s="970"/>
      <c r="K385" s="970"/>
      <c r="L385" s="970"/>
      <c r="M385" s="970"/>
      <c r="N385" s="970"/>
      <c r="O385" s="970"/>
      <c r="P385" s="970"/>
      <c r="Q385" s="970"/>
      <c r="R385" s="970"/>
      <c r="S385" s="970"/>
      <c r="T385" s="970"/>
      <c r="U385" s="970"/>
      <c r="V385" s="971"/>
      <c r="W385" s="82"/>
      <c r="Z385" s="697"/>
      <c r="AA385" s="698"/>
    </row>
    <row r="386" spans="1:27" ht="45" customHeight="1" thickBot="1" x14ac:dyDescent="0.25">
      <c r="A386" s="429"/>
      <c r="B386" s="324" t="s">
        <v>1490</v>
      </c>
      <c r="C386" s="244" t="s">
        <v>1491</v>
      </c>
      <c r="D386" s="742"/>
      <c r="E386" s="743"/>
      <c r="F386" s="742"/>
      <c r="G386" s="743"/>
      <c r="H386" s="742"/>
      <c r="I386" s="743"/>
      <c r="J386" s="742"/>
      <c r="K386" s="743"/>
      <c r="L386" s="742"/>
      <c r="M386" s="743"/>
      <c r="N386" s="742"/>
      <c r="O386" s="743"/>
      <c r="P386" s="742"/>
      <c r="Q386" s="743"/>
      <c r="R386" s="742"/>
      <c r="S386" s="743"/>
      <c r="T386" s="569"/>
      <c r="U386" s="71">
        <f>IF(OR(D386="s",F386="s",H386="s",J386="s",L386="s",N386="s",P386="s",R386="s"), 0, IF(OR(D386="a",F386="a",H386="a",J386="a",L386="a",N386="a",P386="a",R386="a"),V386,0))</f>
        <v>0</v>
      </c>
      <c r="V386" s="420">
        <f>IF(T386="na",0,10)</f>
        <v>10</v>
      </c>
      <c r="W386" s="82">
        <f>COUNTIF(D386:S386,"a")+COUNTIF(D386:S386,"s")+COUNTIF(T386,"na")</f>
        <v>0</v>
      </c>
      <c r="X386" s="720"/>
      <c r="Y386" s="699"/>
      <c r="Z386" s="697" t="s">
        <v>656</v>
      </c>
      <c r="AA386" s="698"/>
    </row>
    <row r="387" spans="1:27" ht="21" customHeight="1" thickTop="1" thickBot="1" x14ac:dyDescent="0.25">
      <c r="A387" s="421"/>
      <c r="B387" s="340"/>
      <c r="C387" s="179"/>
      <c r="D387" s="750" t="s">
        <v>662</v>
      </c>
      <c r="E387" s="779"/>
      <c r="F387" s="779"/>
      <c r="G387" s="779"/>
      <c r="H387" s="779"/>
      <c r="I387" s="779"/>
      <c r="J387" s="779"/>
      <c r="K387" s="779"/>
      <c r="L387" s="779"/>
      <c r="M387" s="779"/>
      <c r="N387" s="779"/>
      <c r="O387" s="779"/>
      <c r="P387" s="779"/>
      <c r="Q387" s="779"/>
      <c r="R387" s="779"/>
      <c r="S387" s="779"/>
      <c r="T387" s="780"/>
      <c r="U387" s="2">
        <f>SUM(U321:U386)</f>
        <v>0</v>
      </c>
      <c r="V387" s="418">
        <f>SUM(V321:V386)</f>
        <v>155</v>
      </c>
      <c r="W387" s="82"/>
      <c r="X387" s="724"/>
      <c r="Y387" s="699"/>
      <c r="Z387" s="697"/>
      <c r="AA387" s="698"/>
    </row>
    <row r="388" spans="1:27" ht="21" customHeight="1" thickBot="1" x14ac:dyDescent="0.25">
      <c r="A388" s="411"/>
      <c r="B388" s="342"/>
      <c r="C388" s="263"/>
      <c r="D388" s="945"/>
      <c r="E388" s="741"/>
      <c r="F388" s="1006">
        <f>IF(AND(T322="na",T386="na"),0,IF(T322="na",10,IF(T386="na",5,15)))</f>
        <v>15</v>
      </c>
      <c r="G388" s="1007"/>
      <c r="H388" s="1007"/>
      <c r="I388" s="1007"/>
      <c r="J388" s="1007"/>
      <c r="K388" s="1007"/>
      <c r="L388" s="1007"/>
      <c r="M388" s="1007"/>
      <c r="N388" s="1007"/>
      <c r="O388" s="1007"/>
      <c r="P388" s="1007"/>
      <c r="Q388" s="1007"/>
      <c r="R388" s="1007"/>
      <c r="S388" s="1007"/>
      <c r="T388" s="1007"/>
      <c r="U388" s="1007"/>
      <c r="V388" s="1008"/>
      <c r="W388" s="82"/>
      <c r="X388" s="722"/>
      <c r="Y388" s="699"/>
      <c r="Z388" s="697"/>
      <c r="AA388" s="698"/>
    </row>
    <row r="389" spans="1:27" ht="30" customHeight="1" thickBot="1" x14ac:dyDescent="0.25">
      <c r="A389" s="408"/>
      <c r="B389" s="316" t="s">
        <v>1708</v>
      </c>
      <c r="C389" s="254" t="s">
        <v>1739</v>
      </c>
      <c r="D389" s="550"/>
      <c r="E389" s="549"/>
      <c r="F389" s="379"/>
      <c r="G389" s="99"/>
      <c r="H389" s="550"/>
      <c r="I389" s="549"/>
      <c r="J389" s="379"/>
      <c r="K389" s="99"/>
      <c r="L389" s="550"/>
      <c r="M389" s="549"/>
      <c r="N389" s="379"/>
      <c r="O389" s="99"/>
      <c r="P389" s="550"/>
      <c r="Q389" s="255"/>
      <c r="R389" s="258"/>
      <c r="S389" s="256"/>
      <c r="T389" s="390"/>
      <c r="U389" s="266"/>
      <c r="V389" s="428"/>
      <c r="W389" s="82"/>
      <c r="AA389" s="698"/>
    </row>
    <row r="390" spans="1:27" ht="30" customHeight="1" x14ac:dyDescent="0.2">
      <c r="A390" s="421"/>
      <c r="B390" s="310"/>
      <c r="C390" s="663" t="s">
        <v>1401</v>
      </c>
      <c r="D390" s="862"/>
      <c r="E390" s="863"/>
      <c r="F390" s="863"/>
      <c r="G390" s="863"/>
      <c r="H390" s="863"/>
      <c r="I390" s="863"/>
      <c r="J390" s="863"/>
      <c r="K390" s="863"/>
      <c r="L390" s="863"/>
      <c r="M390" s="863"/>
      <c r="N390" s="863"/>
      <c r="O390" s="863"/>
      <c r="P390" s="863"/>
      <c r="Q390" s="863"/>
      <c r="R390" s="863"/>
      <c r="S390" s="863"/>
      <c r="T390" s="863"/>
      <c r="U390" s="863"/>
      <c r="V390" s="946"/>
      <c r="W390" s="82"/>
      <c r="AA390" s="698"/>
    </row>
    <row r="391" spans="1:27" ht="30" customHeight="1" x14ac:dyDescent="0.2">
      <c r="A391" s="421"/>
      <c r="B391" s="310"/>
      <c r="C391" s="663" t="s">
        <v>1716</v>
      </c>
      <c r="D391" s="862"/>
      <c r="E391" s="863"/>
      <c r="F391" s="863"/>
      <c r="G391" s="863"/>
      <c r="H391" s="863"/>
      <c r="I391" s="863"/>
      <c r="J391" s="863"/>
      <c r="K391" s="863"/>
      <c r="L391" s="863"/>
      <c r="M391" s="863"/>
      <c r="N391" s="863"/>
      <c r="O391" s="863"/>
      <c r="P391" s="863"/>
      <c r="Q391" s="863"/>
      <c r="R391" s="863"/>
      <c r="S391" s="863"/>
      <c r="T391" s="863"/>
      <c r="U391" s="863"/>
      <c r="V391" s="946"/>
      <c r="W391" s="82"/>
      <c r="AA391" s="698"/>
    </row>
    <row r="392" spans="1:27" s="702" customFormat="1" ht="45" customHeight="1" x14ac:dyDescent="0.2">
      <c r="A392" s="421"/>
      <c r="B392" s="310" t="s">
        <v>1710</v>
      </c>
      <c r="C392" s="147" t="s">
        <v>1717</v>
      </c>
      <c r="D392" s="744"/>
      <c r="E392" s="745"/>
      <c r="F392" s="744"/>
      <c r="G392" s="745"/>
      <c r="H392" s="742"/>
      <c r="I392" s="743"/>
      <c r="J392" s="742"/>
      <c r="K392" s="743"/>
      <c r="L392" s="742"/>
      <c r="M392" s="743"/>
      <c r="N392" s="742"/>
      <c r="O392" s="743"/>
      <c r="P392" s="742"/>
      <c r="Q392" s="743"/>
      <c r="R392" s="742"/>
      <c r="S392" s="743"/>
      <c r="T392" s="112"/>
      <c r="U392" s="71">
        <f>IF(OR(D392="s",F392="s",H392="s",J392="s",L392="s",N392="s",P392="s",R392="s"), 0, IF(OR(D392="a",F392="a",H392="a",J392="a",L392="a",N392="a",P392="a",R392="a"),V392,0))</f>
        <v>0</v>
      </c>
      <c r="V392" s="420">
        <f>IF(T392="na",0,20)</f>
        <v>20</v>
      </c>
      <c r="W392" s="82">
        <f>IF((COUNTIF(D392:S392,"a")+COUNTIF(D392:S392,"s"))&gt;0,IF((COUNTIF(D394:S394,"a")+COUNTIF(D394:S394,"s"))&gt;0,0,COUNTIF(D392:S392,"a")+COUNTIF(D392:S392,"s")+COUNTIF(T392,"NA")), COUNTIF(D392:S392,"a")+COUNTIF(D392:S392,"s")+COUNTIF(T392,"NA"))</f>
        <v>0</v>
      </c>
      <c r="X392" s="717"/>
      <c r="AA392" s="698"/>
    </row>
    <row r="393" spans="1:27" ht="30" customHeight="1" x14ac:dyDescent="0.2">
      <c r="A393" s="421"/>
      <c r="B393" s="310"/>
      <c r="C393" s="663" t="s">
        <v>1712</v>
      </c>
      <c r="D393" s="862"/>
      <c r="E393" s="863"/>
      <c r="F393" s="863"/>
      <c r="G393" s="863"/>
      <c r="H393" s="863"/>
      <c r="I393" s="863"/>
      <c r="J393" s="863"/>
      <c r="K393" s="863"/>
      <c r="L393" s="863"/>
      <c r="M393" s="863"/>
      <c r="N393" s="863"/>
      <c r="O393" s="863"/>
      <c r="P393" s="863"/>
      <c r="Q393" s="863"/>
      <c r="R393" s="863"/>
      <c r="S393" s="863"/>
      <c r="T393" s="863"/>
      <c r="U393" s="863"/>
      <c r="V393" s="946"/>
      <c r="W393" s="82"/>
      <c r="AA393" s="698"/>
    </row>
    <row r="394" spans="1:27" ht="27.95" customHeight="1" x14ac:dyDescent="0.2">
      <c r="A394" s="421"/>
      <c r="B394" s="545" t="s">
        <v>1711</v>
      </c>
      <c r="C394" s="546" t="s">
        <v>1748</v>
      </c>
      <c r="D394" s="742"/>
      <c r="E394" s="743"/>
      <c r="F394" s="742"/>
      <c r="G394" s="743"/>
      <c r="H394" s="742"/>
      <c r="I394" s="743"/>
      <c r="J394" s="742"/>
      <c r="K394" s="743"/>
      <c r="L394" s="742"/>
      <c r="M394" s="743"/>
      <c r="N394" s="742"/>
      <c r="O394" s="743"/>
      <c r="P394" s="742"/>
      <c r="Q394" s="743"/>
      <c r="R394" s="742"/>
      <c r="S394" s="743"/>
      <c r="T394" s="79"/>
      <c r="U394" s="109">
        <f>IF(OR(D394="s",F394="s",H394="s",J394="s",L394="s",N394="s",P394="s",R394="s"), 0, IF(OR(D394="a",F394="a",H394="a",J394="a",L394="a",N394="a",P394="a",R394="a"),V394,0))</f>
        <v>0</v>
      </c>
      <c r="V394" s="417">
        <f>IF(T392="na",0,10)</f>
        <v>10</v>
      </c>
      <c r="W394" s="82">
        <f>IF((COUNTIF(D394:S394,"a")+COUNTIF(D394:S394,"s"))&gt;0,IF((COUNTIF(D392:S392,"a")+COUNTIF(D392:S392,"s"))&gt;0,0,COUNTIF(D394:S394,"a")+COUNTIF(D394:S394,"s")+COUNTIF(T394,"NA")), COUNTIF(D394:S394,"a")+COUNTIF(D394:S394,"s")+COUNTIF(T394,"NA"))</f>
        <v>0</v>
      </c>
      <c r="X394" s="717"/>
      <c r="AA394" s="698"/>
    </row>
    <row r="395" spans="1:27" ht="30" customHeight="1" x14ac:dyDescent="0.2">
      <c r="A395" s="421"/>
      <c r="B395" s="319"/>
      <c r="C395" s="649" t="s">
        <v>1400</v>
      </c>
      <c r="D395" s="862"/>
      <c r="E395" s="863"/>
      <c r="F395" s="863"/>
      <c r="G395" s="863"/>
      <c r="H395" s="863"/>
      <c r="I395" s="863"/>
      <c r="J395" s="863"/>
      <c r="K395" s="863"/>
      <c r="L395" s="863"/>
      <c r="M395" s="863"/>
      <c r="N395" s="863"/>
      <c r="O395" s="863"/>
      <c r="P395" s="863"/>
      <c r="Q395" s="863"/>
      <c r="R395" s="863"/>
      <c r="S395" s="863"/>
      <c r="T395" s="863"/>
      <c r="U395" s="863"/>
      <c r="V395" s="946"/>
      <c r="W395" s="82"/>
      <c r="AA395" s="698"/>
    </row>
    <row r="396" spans="1:27" ht="45" customHeight="1" x14ac:dyDescent="0.2">
      <c r="A396" s="421"/>
      <c r="B396" s="319" t="s">
        <v>1709</v>
      </c>
      <c r="C396" s="152" t="s">
        <v>1715</v>
      </c>
      <c r="D396" s="744"/>
      <c r="E396" s="745"/>
      <c r="F396" s="744"/>
      <c r="G396" s="745"/>
      <c r="H396" s="744"/>
      <c r="I396" s="745"/>
      <c r="J396" s="744"/>
      <c r="K396" s="745"/>
      <c r="L396" s="744"/>
      <c r="M396" s="745"/>
      <c r="N396" s="744"/>
      <c r="O396" s="745"/>
      <c r="P396" s="744"/>
      <c r="Q396" s="745"/>
      <c r="R396" s="744"/>
      <c r="S396" s="745"/>
      <c r="T396" s="111" t="str">
        <f>IF(OR(T392="na",COUNTIF(D392:S392,"a")), "na","")</f>
        <v/>
      </c>
      <c r="U396" s="71">
        <f>IF(OR(D396="s",F396="s",H396="s",J396="s",L396="s",N396="s",P396="s",R396="s"), 0, IF(OR(D396="a",F396="a",H396="a",J396="a",L396="a",N396="a",P396="a",R396="a"),V396,0))</f>
        <v>0</v>
      </c>
      <c r="V396" s="420">
        <f>IF(T396="na",0,10)</f>
        <v>10</v>
      </c>
      <c r="W396" s="82">
        <f>COUNTIF(D396:S396,"a")+COUNTIF(D396:S396,"s")+COUNTIF(T396,"NA")</f>
        <v>0</v>
      </c>
      <c r="X396" s="717"/>
      <c r="AA396" s="698"/>
    </row>
    <row r="397" spans="1:27" ht="30" customHeight="1" x14ac:dyDescent="0.2">
      <c r="A397" s="421"/>
      <c r="B397" s="310"/>
      <c r="C397" s="663" t="s">
        <v>1713</v>
      </c>
      <c r="D397" s="862"/>
      <c r="E397" s="863"/>
      <c r="F397" s="863"/>
      <c r="G397" s="863"/>
      <c r="H397" s="863"/>
      <c r="I397" s="863"/>
      <c r="J397" s="863"/>
      <c r="K397" s="863"/>
      <c r="L397" s="863"/>
      <c r="M397" s="863"/>
      <c r="N397" s="863"/>
      <c r="O397" s="863"/>
      <c r="P397" s="863"/>
      <c r="Q397" s="863"/>
      <c r="R397" s="863"/>
      <c r="S397" s="863"/>
      <c r="T397" s="863"/>
      <c r="U397" s="863"/>
      <c r="V397" s="946"/>
      <c r="W397" s="82"/>
      <c r="AA397" s="698"/>
    </row>
    <row r="398" spans="1:27" ht="27.95" customHeight="1" thickBot="1" x14ac:dyDescent="0.25">
      <c r="A398" s="421"/>
      <c r="B398" s="319" t="s">
        <v>1714</v>
      </c>
      <c r="C398" s="127" t="s">
        <v>1749</v>
      </c>
      <c r="D398" s="764"/>
      <c r="E398" s="765"/>
      <c r="F398" s="764"/>
      <c r="G398" s="765"/>
      <c r="H398" s="764"/>
      <c r="I398" s="765"/>
      <c r="J398" s="764"/>
      <c r="K398" s="765"/>
      <c r="L398" s="764"/>
      <c r="M398" s="765"/>
      <c r="N398" s="764"/>
      <c r="O398" s="765"/>
      <c r="P398" s="764"/>
      <c r="Q398" s="765"/>
      <c r="R398" s="764"/>
      <c r="S398" s="765"/>
      <c r="T398" s="113" t="str">
        <f>IF(T392="na","na","")</f>
        <v/>
      </c>
      <c r="U398" s="67">
        <f>IF(OR(D398="s",F398="s",H398="s",J398="s",L398="s",N398="s",P398="s",R398="s"), 0, IF(OR(D398="a",F398="a",H398="a",J398="a",L398="a",N398="a",P398="a",R398="a"),V398,0))</f>
        <v>0</v>
      </c>
      <c r="V398" s="422">
        <f>IF(T398="na",0,5)</f>
        <v>5</v>
      </c>
      <c r="W398" s="82">
        <f>COUNTIF(D398:S398,"a")+COUNTIF(D398:S398,"s")+COUNTIF(T398,"NA")</f>
        <v>0</v>
      </c>
      <c r="X398" s="717"/>
      <c r="AA398" s="698"/>
    </row>
    <row r="399" spans="1:27" ht="21" customHeight="1" thickTop="1" thickBot="1" x14ac:dyDescent="0.25">
      <c r="A399" s="421"/>
      <c r="B399" s="80"/>
      <c r="C399" s="165"/>
      <c r="D399" s="750" t="s">
        <v>662</v>
      </c>
      <c r="E399" s="779"/>
      <c r="F399" s="779"/>
      <c r="G399" s="779"/>
      <c r="H399" s="779"/>
      <c r="I399" s="779"/>
      <c r="J399" s="779"/>
      <c r="K399" s="779"/>
      <c r="L399" s="779"/>
      <c r="M399" s="779"/>
      <c r="N399" s="779"/>
      <c r="O399" s="779"/>
      <c r="P399" s="779"/>
      <c r="Q399" s="779"/>
      <c r="R399" s="779"/>
      <c r="S399" s="779"/>
      <c r="T399" s="780"/>
      <c r="U399" s="2">
        <f>SUM(U392:U398)</f>
        <v>0</v>
      </c>
      <c r="V399" s="418">
        <f>SUM(V392,V396:V398)</f>
        <v>35</v>
      </c>
      <c r="W399" s="82"/>
      <c r="X399" s="721"/>
      <c r="AA399" s="698"/>
    </row>
    <row r="400" spans="1:27" ht="21" customHeight="1" thickBot="1" x14ac:dyDescent="0.25">
      <c r="A400" s="411"/>
      <c r="B400" s="115"/>
      <c r="C400" s="380"/>
      <c r="D400" s="945"/>
      <c r="E400" s="741"/>
      <c r="F400" s="810">
        <v>0</v>
      </c>
      <c r="G400" s="988"/>
      <c r="H400" s="988"/>
      <c r="I400" s="988"/>
      <c r="J400" s="988"/>
      <c r="K400" s="988"/>
      <c r="L400" s="988"/>
      <c r="M400" s="988"/>
      <c r="N400" s="988"/>
      <c r="O400" s="988"/>
      <c r="P400" s="988"/>
      <c r="Q400" s="988"/>
      <c r="R400" s="988"/>
      <c r="S400" s="988"/>
      <c r="T400" s="988"/>
      <c r="U400" s="988"/>
      <c r="V400" s="989"/>
      <c r="W400" s="82"/>
      <c r="AA400" s="698"/>
    </row>
    <row r="401" spans="1:28" ht="30" customHeight="1" thickBot="1" x14ac:dyDescent="0.25">
      <c r="A401" s="408"/>
      <c r="B401" s="630" t="s">
        <v>69</v>
      </c>
      <c r="C401" s="251" t="s">
        <v>1130</v>
      </c>
      <c r="D401" s="550"/>
      <c r="E401" s="249"/>
      <c r="F401" s="550"/>
      <c r="G401" s="249"/>
      <c r="H401" s="550"/>
      <c r="I401" s="249"/>
      <c r="J401" s="550"/>
      <c r="K401" s="249"/>
      <c r="L401" s="550" t="s">
        <v>661</v>
      </c>
      <c r="M401" s="249"/>
      <c r="N401" s="550"/>
      <c r="O401" s="249"/>
      <c r="P401" s="550"/>
      <c r="Q401" s="249"/>
      <c r="R401" s="550"/>
      <c r="S401" s="549"/>
      <c r="T401" s="557"/>
      <c r="U401" s="558"/>
      <c r="V401" s="558"/>
      <c r="W401" s="82"/>
      <c r="X401" s="722"/>
      <c r="AA401" s="698"/>
    </row>
    <row r="402" spans="1:28" ht="27.95" customHeight="1" x14ac:dyDescent="0.2">
      <c r="A402" s="429"/>
      <c r="B402" s="310" t="s">
        <v>657</v>
      </c>
      <c r="C402" s="246" t="s">
        <v>1157</v>
      </c>
      <c r="D402" s="744"/>
      <c r="E402" s="745"/>
      <c r="F402" s="744"/>
      <c r="G402" s="745"/>
      <c r="H402" s="744"/>
      <c r="I402" s="745"/>
      <c r="J402" s="744"/>
      <c r="K402" s="745"/>
      <c r="L402" s="744"/>
      <c r="M402" s="745"/>
      <c r="N402" s="744"/>
      <c r="O402" s="745"/>
      <c r="P402" s="744"/>
      <c r="Q402" s="745"/>
      <c r="R402" s="744"/>
      <c r="S402" s="745"/>
      <c r="T402" s="69"/>
      <c r="U402" s="71">
        <f>IF(U403=V403,V402,IF(OR(D402="s",F402="s",H402="s",J402="s",L402="s",N402="s",P402="s",R402="s"), 0, IF(OR(D402="a",F402="a",H402="a",J402="a",L402="a",N402="a",P402="a",R402="a"),V402,0)))</f>
        <v>0</v>
      </c>
      <c r="V402" s="415">
        <v>20</v>
      </c>
      <c r="W402" s="82">
        <f>COUNTIF(D402:S402,"a")+COUNTIF(D402:S402,"s")</f>
        <v>0</v>
      </c>
      <c r="X402" s="720"/>
      <c r="AA402" s="698"/>
    </row>
    <row r="403" spans="1:28" ht="27.95" customHeight="1" x14ac:dyDescent="0.2">
      <c r="A403" s="429"/>
      <c r="B403" s="319" t="s">
        <v>658</v>
      </c>
      <c r="C403" s="247" t="s">
        <v>1309</v>
      </c>
      <c r="D403" s="742"/>
      <c r="E403" s="743"/>
      <c r="F403" s="742"/>
      <c r="G403" s="743"/>
      <c r="H403" s="742"/>
      <c r="I403" s="743"/>
      <c r="J403" s="742"/>
      <c r="K403" s="743"/>
      <c r="L403" s="742"/>
      <c r="M403" s="743"/>
      <c r="N403" s="742"/>
      <c r="O403" s="743"/>
      <c r="P403" s="742"/>
      <c r="Q403" s="743"/>
      <c r="R403" s="742"/>
      <c r="S403" s="743"/>
      <c r="T403" s="69"/>
      <c r="U403" s="67">
        <f>IF(U404=V404,V403,IF(OR(D403="s",F403="s",H403="s",J403="s",L403="s",N403="s",P403="s",R403="s"), 0, IF(OR(D403="a",F403="a",H403="a",J403="a",L403="a",N403="a",P403="a",R403="a"),V403,0)))</f>
        <v>0</v>
      </c>
      <c r="V403" s="415">
        <v>20</v>
      </c>
      <c r="W403" s="82">
        <f>COUNTIF(D403:S403,"a")+COUNTIF(D403:S403,"s")</f>
        <v>0</v>
      </c>
      <c r="X403" s="720"/>
      <c r="AA403" s="698"/>
    </row>
    <row r="404" spans="1:28" ht="27.95" customHeight="1" thickBot="1" x14ac:dyDescent="0.25">
      <c r="A404" s="429"/>
      <c r="B404" s="319" t="s">
        <v>1156</v>
      </c>
      <c r="C404" s="247" t="s">
        <v>1310</v>
      </c>
      <c r="D404" s="742"/>
      <c r="E404" s="743"/>
      <c r="F404" s="742"/>
      <c r="G404" s="743"/>
      <c r="H404" s="742"/>
      <c r="I404" s="743"/>
      <c r="J404" s="742"/>
      <c r="K404" s="743"/>
      <c r="L404" s="742"/>
      <c r="M404" s="743"/>
      <c r="N404" s="742"/>
      <c r="O404" s="743"/>
      <c r="P404" s="742"/>
      <c r="Q404" s="743"/>
      <c r="R404" s="742"/>
      <c r="S404" s="743"/>
      <c r="T404" s="69"/>
      <c r="U404" s="67">
        <f>IF(OR(D404="s",F404="s",H404="s",J404="s",L404="s",N404="s",P404="s",R404="s"), 0, IF(OR(D404="a",F404="a",H404="a",J404="a",L404="a",N404="a",P404="a",R404="a"),V404,0))</f>
        <v>0</v>
      </c>
      <c r="V404" s="415">
        <v>20</v>
      </c>
      <c r="W404" s="82">
        <f>COUNTIF(D404:S404,"a")+COUNTIF(D404:S404,"s")</f>
        <v>0</v>
      </c>
      <c r="X404" s="720"/>
      <c r="AA404" s="698"/>
    </row>
    <row r="405" spans="1:28" ht="21" customHeight="1" thickTop="1" thickBot="1" x14ac:dyDescent="0.25">
      <c r="A405" s="421"/>
      <c r="B405" s="340"/>
      <c r="C405" s="179"/>
      <c r="D405" s="750" t="s">
        <v>662</v>
      </c>
      <c r="E405" s="779"/>
      <c r="F405" s="779"/>
      <c r="G405" s="779"/>
      <c r="H405" s="779"/>
      <c r="I405" s="779"/>
      <c r="J405" s="779"/>
      <c r="K405" s="779"/>
      <c r="L405" s="779"/>
      <c r="M405" s="779"/>
      <c r="N405" s="779"/>
      <c r="O405" s="779"/>
      <c r="P405" s="779"/>
      <c r="Q405" s="779"/>
      <c r="R405" s="779"/>
      <c r="S405" s="779"/>
      <c r="T405" s="780"/>
      <c r="U405" s="2">
        <f>SUM(U402:U404)</f>
        <v>0</v>
      </c>
      <c r="V405" s="418">
        <f>SUM(V402:V404)</f>
        <v>60</v>
      </c>
      <c r="W405" s="82"/>
      <c r="X405" s="724"/>
      <c r="Y405" s="699"/>
      <c r="Z405" s="697"/>
      <c r="AA405" s="698"/>
    </row>
    <row r="406" spans="1:28" ht="21" customHeight="1" thickBot="1" x14ac:dyDescent="0.25">
      <c r="A406" s="411"/>
      <c r="B406" s="342"/>
      <c r="C406" s="380"/>
      <c r="D406" s="945"/>
      <c r="E406" s="741"/>
      <c r="F406" s="1009">
        <v>0</v>
      </c>
      <c r="G406" s="781"/>
      <c r="H406" s="781"/>
      <c r="I406" s="781"/>
      <c r="J406" s="781"/>
      <c r="K406" s="781"/>
      <c r="L406" s="781"/>
      <c r="M406" s="781"/>
      <c r="N406" s="781"/>
      <c r="O406" s="781"/>
      <c r="P406" s="781"/>
      <c r="Q406" s="781"/>
      <c r="R406" s="781"/>
      <c r="S406" s="781"/>
      <c r="T406" s="781"/>
      <c r="U406" s="781"/>
      <c r="V406" s="782"/>
      <c r="W406" s="82"/>
      <c r="X406" s="722"/>
      <c r="Y406" s="699"/>
      <c r="Z406" s="697"/>
      <c r="AA406" s="698"/>
    </row>
    <row r="407" spans="1:28" ht="30" customHeight="1" thickBot="1" x14ac:dyDescent="0.25">
      <c r="A407" s="408"/>
      <c r="B407" s="314" t="s">
        <v>1297</v>
      </c>
      <c r="C407" s="251" t="s">
        <v>1298</v>
      </c>
      <c r="D407" s="257"/>
      <c r="E407" s="255"/>
      <c r="F407" s="379"/>
      <c r="G407" s="99"/>
      <c r="H407" s="550"/>
      <c r="I407" s="549"/>
      <c r="J407" s="265"/>
      <c r="K407" s="256"/>
      <c r="L407" s="257"/>
      <c r="M407" s="255"/>
      <c r="N407" s="258"/>
      <c r="O407" s="256"/>
      <c r="P407" s="257"/>
      <c r="Q407" s="255"/>
      <c r="R407" s="258"/>
      <c r="S407" s="256"/>
      <c r="T407" s="390"/>
      <c r="U407" s="266"/>
      <c r="V407" s="428"/>
      <c r="W407" s="82"/>
      <c r="Z407" s="697"/>
      <c r="AA407" s="698"/>
    </row>
    <row r="408" spans="1:28" ht="27.95" customHeight="1" x14ac:dyDescent="0.2">
      <c r="A408" s="421" t="s">
        <v>716</v>
      </c>
      <c r="B408" s="310"/>
      <c r="C408" s="663" t="s">
        <v>1830</v>
      </c>
      <c r="D408" s="864"/>
      <c r="E408" s="865"/>
      <c r="F408" s="865"/>
      <c r="G408" s="865"/>
      <c r="H408" s="865"/>
      <c r="I408" s="865"/>
      <c r="J408" s="865"/>
      <c r="K408" s="865"/>
      <c r="L408" s="865"/>
      <c r="M408" s="865"/>
      <c r="N408" s="865"/>
      <c r="O408" s="865"/>
      <c r="P408" s="865"/>
      <c r="Q408" s="865"/>
      <c r="R408" s="865"/>
      <c r="S408" s="865"/>
      <c r="T408" s="865"/>
      <c r="U408" s="865"/>
      <c r="V408" s="1034"/>
      <c r="W408" s="82"/>
      <c r="Z408" s="697"/>
      <c r="AA408" s="698"/>
    </row>
    <row r="409" spans="1:28" ht="27.75" customHeight="1" x14ac:dyDescent="0.2">
      <c r="A409" s="421"/>
      <c r="B409" s="319" t="s">
        <v>1305</v>
      </c>
      <c r="C409" s="131" t="s">
        <v>1306</v>
      </c>
      <c r="D409" s="744"/>
      <c r="E409" s="745"/>
      <c r="F409" s="744"/>
      <c r="G409" s="745"/>
      <c r="H409" s="744"/>
      <c r="I409" s="745"/>
      <c r="J409" s="744"/>
      <c r="K409" s="745"/>
      <c r="L409" s="744"/>
      <c r="M409" s="745"/>
      <c r="N409" s="744"/>
      <c r="O409" s="745"/>
      <c r="P409" s="744"/>
      <c r="Q409" s="745"/>
      <c r="R409" s="744"/>
      <c r="S409" s="745"/>
      <c r="T409" s="547" t="str">
        <f>IF($T$417="na","na","")</f>
        <v/>
      </c>
      <c r="U409" s="71">
        <f>IF(OR(D409="s",F409="s",H409="s",J409="s",L409="s",N409="s",P409="s",R409="s"), 0, IF(OR(D409="a",F409="a",H409="a",J409="a",L409="a",N409="a",P409="a",R409="a"),V409,0))</f>
        <v>0</v>
      </c>
      <c r="V409" s="420">
        <f>IF(T409="na",0,5)</f>
        <v>5</v>
      </c>
      <c r="W409" s="82">
        <f>IF((COUNTIF(D409:S409,"a")+COUNTIF(D409:S409,"s")+COUNTIF(T409,"na"))&gt;0,IF((COUNTIF(D420:S420,"a")+COUNTIF(D420:S420,"s")),0,COUNTIF(D409:S409,"a")+COUNTIF(D409:S409,"s")+COUNTIF(T409,"na")),COUNTIF(D409:S409,"a")+COUNTIF(D409:S409,"s"))</f>
        <v>0</v>
      </c>
      <c r="X409" s="717"/>
      <c r="Z409" s="697"/>
    </row>
    <row r="410" spans="1:28" ht="45" customHeight="1" x14ac:dyDescent="0.2">
      <c r="A410" s="421" t="s">
        <v>272</v>
      </c>
      <c r="B410" s="319" t="s">
        <v>1299</v>
      </c>
      <c r="C410" s="131" t="s">
        <v>1369</v>
      </c>
      <c r="D410" s="744"/>
      <c r="E410" s="745"/>
      <c r="F410" s="744"/>
      <c r="G410" s="745"/>
      <c r="H410" s="744"/>
      <c r="I410" s="745"/>
      <c r="J410" s="744"/>
      <c r="K410" s="745"/>
      <c r="L410" s="744"/>
      <c r="M410" s="745"/>
      <c r="N410" s="744"/>
      <c r="O410" s="745"/>
      <c r="P410" s="744"/>
      <c r="Q410" s="745"/>
      <c r="R410" s="744"/>
      <c r="S410" s="745"/>
      <c r="T410" s="547" t="str">
        <f>IF($T$417="na","na","")</f>
        <v/>
      </c>
      <c r="U410" s="71">
        <f>IF(OR(D410="s",F410="s",H410="s",J410="s",L410="s",N410="s",P410="s",R410="s"), 0, IF(OR(D410="a",F410="a",H410="a",J410="a",L410="a",N410="a",P410="a",R410="a"),V410,0))</f>
        <v>0</v>
      </c>
      <c r="V410" s="420">
        <f>IF(T410="na",0,5)</f>
        <v>5</v>
      </c>
      <c r="W410" s="82">
        <f>IF((COUNTIF(D410:S410,"a")+COUNTIF(D410:S410,"s")+COUNTIF(T410,"na"))&gt;0,IF((COUNTIF(D420:S420,"a")+COUNTIF(D420:S420,"s")+COUNTIF(D413:S414, "a")+COUNTIF(D413:S414, "S")),0,COUNTIF(D410:S410,"a")+COUNTIF(D410:S410,"s")+COUNTIF(T410,"na")),COUNTIF(D410:S410,"a")+COUNTIF(D410:S410,"s")+COUNTIF(T410,"na"))</f>
        <v>0</v>
      </c>
      <c r="Z410" s="697"/>
    </row>
    <row r="411" spans="1:28" ht="45" customHeight="1" x14ac:dyDescent="0.2">
      <c r="A411" s="421" t="s">
        <v>272</v>
      </c>
      <c r="B411" s="319" t="s">
        <v>1304</v>
      </c>
      <c r="C411" s="131" t="s">
        <v>1370</v>
      </c>
      <c r="D411" s="744"/>
      <c r="E411" s="745"/>
      <c r="F411" s="744"/>
      <c r="G411" s="745"/>
      <c r="H411" s="744"/>
      <c r="I411" s="745"/>
      <c r="J411" s="744"/>
      <c r="K411" s="745"/>
      <c r="L411" s="744"/>
      <c r="M411" s="745"/>
      <c r="N411" s="744"/>
      <c r="O411" s="745"/>
      <c r="P411" s="744"/>
      <c r="Q411" s="745"/>
      <c r="R411" s="744"/>
      <c r="S411" s="745"/>
      <c r="T411" s="547" t="str">
        <f>IF($T$417="na","na","")</f>
        <v/>
      </c>
      <c r="U411" s="71">
        <f>IF(OR(D411="s",F411="s",H411="s",J411="s",L411="s",N411="s",P411="s",R411="s"), 0, IF(OR(D411="a",F411="a",H411="a",J411="a",L411="a",N411="a",P411="a",R411="a"),V411,0))</f>
        <v>0</v>
      </c>
      <c r="V411" s="420">
        <f>IF(T411="na",0,5)</f>
        <v>5</v>
      </c>
      <c r="W411" s="82">
        <f>IF((COUNTIF(D411:S411,"a")+COUNTIF(D411:S411,"s")+COUNTIF(T411,"na"))&gt;0,IF((COUNTIF(D420:S420,"a")+COUNTIF(D420:S420,"s")+COUNTIF(D413:S414, "a")+COUNTIF(D413:S414, "S")),0,COUNTIF(D411:S411,"a")+COUNTIF(D411:S411,"s")+COUNTIF(T411,"na")),COUNTIF(D411:S411,"a")+COUNTIF(D411:S411,"s")+COUNTIF(T411,"na"))</f>
        <v>0</v>
      </c>
      <c r="Z411" s="697"/>
    </row>
    <row r="412" spans="1:28" s="704" customFormat="1" ht="27.95" customHeight="1" x14ac:dyDescent="0.2">
      <c r="A412" s="421" t="s">
        <v>482</v>
      </c>
      <c r="B412" s="710"/>
      <c r="C412" s="711" t="s">
        <v>1840</v>
      </c>
      <c r="D412" s="1030"/>
      <c r="E412" s="1031"/>
      <c r="F412" s="1031"/>
      <c r="G412" s="1031"/>
      <c r="H412" s="1031"/>
      <c r="I412" s="1031"/>
      <c r="J412" s="1031"/>
      <c r="K412" s="1031"/>
      <c r="L412" s="1031"/>
      <c r="M412" s="1031"/>
      <c r="N412" s="1031"/>
      <c r="O412" s="1031"/>
      <c r="P412" s="1031"/>
      <c r="Q412" s="1031"/>
      <c r="R412" s="1031"/>
      <c r="S412" s="1031"/>
      <c r="T412" s="1031"/>
      <c r="U412" s="1031"/>
      <c r="V412" s="1032"/>
      <c r="W412" s="367"/>
      <c r="X412" s="718"/>
      <c r="Z412" s="697"/>
      <c r="AA412" s="696"/>
      <c r="AB412" s="696"/>
    </row>
    <row r="413" spans="1:28" ht="45" customHeight="1" x14ac:dyDescent="0.2">
      <c r="A413" s="421" t="s">
        <v>482</v>
      </c>
      <c r="B413" s="712" t="s">
        <v>1832</v>
      </c>
      <c r="C413" s="713" t="s">
        <v>1834</v>
      </c>
      <c r="D413" s="744"/>
      <c r="E413" s="745"/>
      <c r="F413" s="744"/>
      <c r="G413" s="745"/>
      <c r="H413" s="744"/>
      <c r="I413" s="745"/>
      <c r="J413" s="744"/>
      <c r="K413" s="745"/>
      <c r="L413" s="744"/>
      <c r="M413" s="745"/>
      <c r="N413" s="744"/>
      <c r="O413" s="745"/>
      <c r="P413" s="744"/>
      <c r="Q413" s="745"/>
      <c r="R413" s="744"/>
      <c r="S413" s="745"/>
      <c r="T413" s="547"/>
      <c r="U413" s="714">
        <f>IF(OR(D413="s",F413="s",H413="s",J413="s",L413="s",N413="s",P413="s",R413="s"), 0, IF(OR(D413="a",F413="a",H413="a",J413="a",L413="a",N413="a",P413="a",R413="a"),V413,0))</f>
        <v>0</v>
      </c>
      <c r="V413" s="420">
        <v>15</v>
      </c>
      <c r="W413" s="82">
        <f>IF((COUNTIF(D413:S413,"a")+COUNTIF(D413:S413,"s")+COUNTIF(T413,"na"))&gt;0,IF((COUNTIF(D420:S420,"a")+COUNTIF(D420:S420,"s")+COUNTIF(D410:S411, "a")+COUNTIF(D410:S411, "S")),0,COUNTIF(D413:S413,"a")+COUNTIF(D413:S413,"s")+COUNTIF(T413,"na")),COUNTIF(D413:S413,"a")+COUNTIF(D413:S413,"s")+COUNTIF(T413,"na"))</f>
        <v>0</v>
      </c>
      <c r="Y413" s="28"/>
      <c r="Z413" s="351"/>
    </row>
    <row r="414" spans="1:28" ht="45" customHeight="1" x14ac:dyDescent="0.2">
      <c r="A414" s="421" t="s">
        <v>482</v>
      </c>
      <c r="B414" s="545" t="s">
        <v>1833</v>
      </c>
      <c r="C414" s="691" t="s">
        <v>1835</v>
      </c>
      <c r="D414" s="744"/>
      <c r="E414" s="745"/>
      <c r="F414" s="744"/>
      <c r="G414" s="745"/>
      <c r="H414" s="744"/>
      <c r="I414" s="745"/>
      <c r="J414" s="744"/>
      <c r="K414" s="745"/>
      <c r="L414" s="744"/>
      <c r="M414" s="745"/>
      <c r="N414" s="744"/>
      <c r="O414" s="745"/>
      <c r="P414" s="744"/>
      <c r="Q414" s="745"/>
      <c r="R414" s="744"/>
      <c r="S414" s="745"/>
      <c r="T414" s="547"/>
      <c r="U414" s="692">
        <f>IF(OR(D414="s",F414="s",H414="s",J414="s",L414="s",N414="s",P414="s",R414="s"), 0, IF(OR(D414="a",F414="a",H414="a",J414="a",L414="a",N414="a",P414="a",R414="a"),V414,0))</f>
        <v>0</v>
      </c>
      <c r="V414" s="420">
        <v>5</v>
      </c>
      <c r="W414" s="82">
        <f>IF((COUNTIF(D414:S414,"a")+COUNTIF(D414:S414,"s")+COUNTIF(T414,"na"))&gt;0,IF((COUNTIF(D420:S420,"a")+COUNTIF(D420:S420,"s")+COUNTIF(D410:S411, "a")+COUNTIF(D410:S411, "S")),0,COUNTIF(D414:S414,"a")+COUNTIF(D414:S414,"s")+COUNTIF(T414,"na")),COUNTIF(D414:S414,"a")+COUNTIF(D414:S414,"s")+COUNTIF(T414,"na"))</f>
        <v>0</v>
      </c>
      <c r="Y414" s="28"/>
      <c r="Z414" s="351"/>
    </row>
    <row r="415" spans="1:28" ht="45" customHeight="1" x14ac:dyDescent="0.2">
      <c r="A415" s="421" t="s">
        <v>482</v>
      </c>
      <c r="B415" s="319" t="s">
        <v>1831</v>
      </c>
      <c r="C415" s="131" t="s">
        <v>1836</v>
      </c>
      <c r="D415" s="744"/>
      <c r="E415" s="745"/>
      <c r="F415" s="744"/>
      <c r="G415" s="745"/>
      <c r="H415" s="744"/>
      <c r="I415" s="745"/>
      <c r="J415" s="744"/>
      <c r="K415" s="745"/>
      <c r="L415" s="744"/>
      <c r="M415" s="745"/>
      <c r="N415" s="744"/>
      <c r="O415" s="745"/>
      <c r="P415" s="744"/>
      <c r="Q415" s="745"/>
      <c r="R415" s="744"/>
      <c r="S415" s="745"/>
      <c r="T415" s="547"/>
      <c r="U415" s="71">
        <f>IF(OR(D415="s",F415="s",H415="s",J415="s",L415="s",N415="s",P415="s",R415="s"), 0, IF(OR(D415="a",F415="a",H415="a",J415="a",L415="a",N415="a",P415="a",R415="a"),V415,0))</f>
        <v>0</v>
      </c>
      <c r="V415" s="420">
        <f>IF(T415="na",0,5)</f>
        <v>5</v>
      </c>
      <c r="W415" s="82">
        <f>IF((COUNTIF(D415:S415,"a")+COUNTIF(D415:S415,"s")+COUNTIF(T415,"na"))&gt;0,IF((COUNTIF(D420:S420,"a")+COUNTIF(D420:S420,"s")),0,COUNTIF(D415:S415,"a")+COUNTIF(D415:S415,"s")+COUNTIF(T415,"na")),COUNTIF(D415:S415,"a")+COUNTIF(D415:S415,"s"))</f>
        <v>0</v>
      </c>
      <c r="Z415" s="697"/>
    </row>
    <row r="416" spans="1:28" s="704" customFormat="1" ht="27.95" customHeight="1" x14ac:dyDescent="0.2">
      <c r="A416" s="421" t="s">
        <v>482</v>
      </c>
      <c r="B416" s="310"/>
      <c r="C416" s="663" t="s">
        <v>1829</v>
      </c>
      <c r="D416" s="1030"/>
      <c r="E416" s="1031"/>
      <c r="F416" s="1031"/>
      <c r="G416" s="1031"/>
      <c r="H416" s="1031"/>
      <c r="I416" s="1031"/>
      <c r="J416" s="1031"/>
      <c r="K416" s="1031"/>
      <c r="L416" s="1031"/>
      <c r="M416" s="1031"/>
      <c r="N416" s="1031"/>
      <c r="O416" s="1031"/>
      <c r="P416" s="1031"/>
      <c r="Q416" s="1031"/>
      <c r="R416" s="1031"/>
      <c r="S416" s="1031"/>
      <c r="T416" s="1031"/>
      <c r="U416" s="1031"/>
      <c r="V416" s="1032"/>
      <c r="W416" s="367"/>
      <c r="X416" s="718"/>
      <c r="Z416" s="697"/>
      <c r="AA416" s="696"/>
      <c r="AB416" s="696"/>
    </row>
    <row r="417" spans="1:27" ht="45" customHeight="1" x14ac:dyDescent="0.2">
      <c r="A417" s="421" t="s">
        <v>482</v>
      </c>
      <c r="B417" s="319" t="s">
        <v>1810</v>
      </c>
      <c r="C417" s="131" t="s">
        <v>1811</v>
      </c>
      <c r="D417" s="744"/>
      <c r="E417" s="745"/>
      <c r="F417" s="744"/>
      <c r="G417" s="745"/>
      <c r="H417" s="744"/>
      <c r="I417" s="745"/>
      <c r="J417" s="744"/>
      <c r="K417" s="745"/>
      <c r="L417" s="744"/>
      <c r="M417" s="745"/>
      <c r="N417" s="744"/>
      <c r="O417" s="745"/>
      <c r="P417" s="744"/>
      <c r="Q417" s="745"/>
      <c r="R417" s="744"/>
      <c r="S417" s="745"/>
      <c r="T417" s="547"/>
      <c r="U417" s="71">
        <f>IF(OR(D417="s",F417="s",H417="s",J417="s",L417="s",N417="s",P417="s",R417="s"), 0, IF(OR(D417="a",F417="a",H417="a",J417="a",L417="a",N417="a",P417="a",R417="a"),V417,0))</f>
        <v>0</v>
      </c>
      <c r="V417" s="420">
        <f>IF(T417="na",0,10)</f>
        <v>10</v>
      </c>
      <c r="W417" s="82">
        <f>IF((COUNTIF(D417:S417,"a")+COUNTIF(D417:S417,"s")+COUNTIF(T417,"na"))&gt;0,IF((COUNTIF(D420:S420,"a")+COUNTIF(D420:S420,"s")+COUNTIF(D418:S418, "a")+COUNTIF(D418:S418, "S")),0,COUNTIF(D417:S417,"a")+COUNTIF(D417:S417,"s")+COUNTIF(T417,"na")),COUNTIF(D417:S417,"a")+COUNTIF(D417:S417,"s")+COUNTIF(T417,"na"))</f>
        <v>0</v>
      </c>
      <c r="Y417" s="28"/>
      <c r="Z417" s="351" t="s">
        <v>656</v>
      </c>
    </row>
    <row r="418" spans="1:27" ht="67.5" customHeight="1" x14ac:dyDescent="0.2">
      <c r="A418" s="421" t="s">
        <v>482</v>
      </c>
      <c r="B418" s="545" t="s">
        <v>1812</v>
      </c>
      <c r="C418" s="691" t="s">
        <v>1813</v>
      </c>
      <c r="D418" s="744"/>
      <c r="E418" s="745"/>
      <c r="F418" s="744"/>
      <c r="G418" s="745"/>
      <c r="H418" s="744"/>
      <c r="I418" s="745"/>
      <c r="J418" s="744"/>
      <c r="K418" s="745"/>
      <c r="L418" s="744"/>
      <c r="M418" s="745"/>
      <c r="N418" s="744"/>
      <c r="O418" s="745"/>
      <c r="P418" s="744"/>
      <c r="Q418" s="745"/>
      <c r="R418" s="744"/>
      <c r="S418" s="745"/>
      <c r="T418" s="547"/>
      <c r="U418" s="692">
        <f>IF(OR(D418="s",F418="s",H418="s",J418="s",L418="s",N418="s",P418="s",R418="s"), 0, IF(OR(D418="a",F418="a",H418="a",J418="a",L418="a",N418="a",P418="a",R418="a"),V418,0))</f>
        <v>0</v>
      </c>
      <c r="V418" s="420">
        <v>10</v>
      </c>
      <c r="W418" s="82">
        <f>IF((COUNTIF(D418:S418,"a")+COUNTIF(D418:S418,"s"))&gt;0,IF((COUNTIF(D420:S420,"a")+COUNTIF(D420:S420,"s")+COUNTIF(D417:S417, "a")+COUNTIF(D417:S417, "S")),0,COUNTIF(D418:S418,"a")+COUNTIF(D418:S418,"s")),COUNTIF(D418:S418,"a")+COUNTIF(D418:S418,"s"))</f>
        <v>0</v>
      </c>
      <c r="Y418" s="28"/>
      <c r="Z418" s="728"/>
    </row>
    <row r="419" spans="1:27" ht="28.5" customHeight="1" x14ac:dyDescent="0.2">
      <c r="A419" s="421" t="s">
        <v>482</v>
      </c>
      <c r="B419" s="319" t="s">
        <v>1814</v>
      </c>
      <c r="C419" s="131" t="s">
        <v>1815</v>
      </c>
      <c r="D419" s="744"/>
      <c r="E419" s="745"/>
      <c r="F419" s="744"/>
      <c r="G419" s="745"/>
      <c r="H419" s="744"/>
      <c r="I419" s="745"/>
      <c r="J419" s="744"/>
      <c r="K419" s="745"/>
      <c r="L419" s="744"/>
      <c r="M419" s="745"/>
      <c r="N419" s="744"/>
      <c r="O419" s="745"/>
      <c r="P419" s="744"/>
      <c r="Q419" s="745"/>
      <c r="R419" s="744"/>
      <c r="S419" s="745"/>
      <c r="T419" s="547"/>
      <c r="U419" s="71">
        <f>IF(OR(D419="s",F419="s",H419="s",J419="s",L419="s",N419="s",P419="s",R419="s"), 0, IF(OR(D419="a",F419="a",H419="a",J419="a",L419="a",N419="a",P419="a",R419="a"),V419,0))</f>
        <v>0</v>
      </c>
      <c r="V419" s="420">
        <f>IF(T419="na",0,5)</f>
        <v>5</v>
      </c>
      <c r="W419" s="82">
        <f>IF((COUNTIF(D419:S419,"a")+COUNTIF(D419:S419,"s")+COUNTIF(T419,"na"))&gt;0,IF((COUNTIF(D420:S420,"a")+COUNTIF(D420:S420,"s")),0,COUNTIF(D419:S419,"a")+COUNTIF(D419:S419,"s")+COUNTIF(T419,"na")),COUNTIF(D419:S419,"a")+COUNTIF(D419:S419,"s"))</f>
        <v>0</v>
      </c>
      <c r="Z419" s="728"/>
    </row>
    <row r="420" spans="1:27" ht="67.5" customHeight="1" thickBot="1" x14ac:dyDescent="0.25">
      <c r="A420" s="421" t="s">
        <v>716</v>
      </c>
      <c r="B420" s="545" t="s">
        <v>1798</v>
      </c>
      <c r="C420" s="691" t="s">
        <v>1817</v>
      </c>
      <c r="D420" s="744"/>
      <c r="E420" s="745"/>
      <c r="F420" s="744"/>
      <c r="G420" s="745"/>
      <c r="H420" s="744"/>
      <c r="I420" s="745"/>
      <c r="J420" s="744"/>
      <c r="K420" s="745"/>
      <c r="L420" s="744"/>
      <c r="M420" s="745"/>
      <c r="N420" s="744"/>
      <c r="O420" s="745"/>
      <c r="P420" s="744"/>
      <c r="Q420" s="745"/>
      <c r="R420" s="744"/>
      <c r="S420" s="745"/>
      <c r="T420" s="547"/>
      <c r="U420" s="692">
        <f>IF(OR(D420="s",F420="s",H420="s",J420="s",L420="s",N420="s",P420="s",R420="s"), 0, IF(OR(D420="a",F420="a",H420="a",J420="a",L420="a",N420="a",P420="a",R420="a"),V420,0))</f>
        <v>0</v>
      </c>
      <c r="V420" s="420">
        <v>45</v>
      </c>
      <c r="W420" s="82">
        <f>IF((COUNTIF(D420:S420,"a")+COUNTIF(D420:S420,"s"))&gt;0,IF(OR((COUNTIF(D409:S419,"a")+COUNTIF(D409:S419,"s"))),0,COUNTIF(D420:S420,"a")+COUNTIF(D420:S420,"s")),COUNTIF(D420:S420,"a")+COUNTIF(D420:S420,"s"))</f>
        <v>0</v>
      </c>
      <c r="X420" s="720"/>
      <c r="Z420" s="697"/>
    </row>
    <row r="421" spans="1:27" ht="21" customHeight="1" thickTop="1" thickBot="1" x14ac:dyDescent="0.25">
      <c r="A421" s="421" t="s">
        <v>272</v>
      </c>
      <c r="B421" s="182"/>
      <c r="C421" s="173"/>
      <c r="D421" s="750" t="s">
        <v>662</v>
      </c>
      <c r="E421" s="779"/>
      <c r="F421" s="779"/>
      <c r="G421" s="779"/>
      <c r="H421" s="779"/>
      <c r="I421" s="779"/>
      <c r="J421" s="779"/>
      <c r="K421" s="779"/>
      <c r="L421" s="779"/>
      <c r="M421" s="779"/>
      <c r="N421" s="779"/>
      <c r="O421" s="779"/>
      <c r="P421" s="779"/>
      <c r="Q421" s="779"/>
      <c r="R421" s="779"/>
      <c r="S421" s="779"/>
      <c r="T421" s="780"/>
      <c r="U421" s="2">
        <f>SUM(U408:U420)</f>
        <v>0</v>
      </c>
      <c r="V421" s="418">
        <f>SUM(V420)</f>
        <v>45</v>
      </c>
      <c r="W421" s="82"/>
      <c r="Y421" s="727">
        <f>IF(U421&gt;V421,1,0)</f>
        <v>0</v>
      </c>
      <c r="Z421" s="697"/>
      <c r="AA421" s="698"/>
    </row>
    <row r="422" spans="1:27" ht="21" customHeight="1" thickBot="1" x14ac:dyDescent="0.25">
      <c r="A422" s="411" t="s">
        <v>272</v>
      </c>
      <c r="B422" s="115"/>
      <c r="C422" s="267"/>
      <c r="D422" s="945"/>
      <c r="E422" s="741"/>
      <c r="F422" s="972">
        <v>20</v>
      </c>
      <c r="G422" s="973"/>
      <c r="H422" s="973"/>
      <c r="I422" s="973"/>
      <c r="J422" s="973"/>
      <c r="K422" s="973"/>
      <c r="L422" s="973"/>
      <c r="M422" s="973"/>
      <c r="N422" s="973"/>
      <c r="O422" s="973"/>
      <c r="P422" s="973"/>
      <c r="Q422" s="973"/>
      <c r="R422" s="973"/>
      <c r="S422" s="973"/>
      <c r="T422" s="973"/>
      <c r="U422" s="973"/>
      <c r="V422" s="974"/>
      <c r="W422" s="82"/>
      <c r="Z422" s="697"/>
      <c r="AA422" s="698"/>
    </row>
    <row r="423" spans="1:27" ht="30" customHeight="1" thickBot="1" x14ac:dyDescent="0.25">
      <c r="A423" s="408"/>
      <c r="B423" s="314" t="s">
        <v>1300</v>
      </c>
      <c r="C423" s="251" t="s">
        <v>1301</v>
      </c>
      <c r="D423" s="257"/>
      <c r="E423" s="255"/>
      <c r="F423" s="379"/>
      <c r="G423" s="99"/>
      <c r="H423" s="550"/>
      <c r="I423" s="549"/>
      <c r="J423" s="265"/>
      <c r="K423" s="256"/>
      <c r="L423" s="257"/>
      <c r="M423" s="255"/>
      <c r="N423" s="258"/>
      <c r="O423" s="256"/>
      <c r="P423" s="257"/>
      <c r="Q423" s="255"/>
      <c r="R423" s="258"/>
      <c r="S423" s="256"/>
      <c r="T423" s="390"/>
      <c r="U423" s="266"/>
      <c r="V423" s="428"/>
      <c r="W423" s="82"/>
      <c r="Z423" s="697"/>
      <c r="AA423" s="698"/>
    </row>
    <row r="424" spans="1:27" ht="27.95" customHeight="1" x14ac:dyDescent="0.2">
      <c r="A424" s="421"/>
      <c r="B424" s="318" t="s">
        <v>1302</v>
      </c>
      <c r="C424" s="528" t="s">
        <v>1307</v>
      </c>
      <c r="D424" s="748"/>
      <c r="E424" s="749"/>
      <c r="F424" s="748"/>
      <c r="G424" s="749"/>
      <c r="H424" s="748"/>
      <c r="I424" s="749"/>
      <c r="J424" s="748"/>
      <c r="K424" s="749"/>
      <c r="L424" s="748"/>
      <c r="M424" s="749"/>
      <c r="N424" s="748"/>
      <c r="O424" s="749"/>
      <c r="P424" s="748"/>
      <c r="Q424" s="749"/>
      <c r="R424" s="748"/>
      <c r="S424" s="749"/>
      <c r="T424" s="112"/>
      <c r="U424" s="70">
        <f>IF(OR(D424="s",F424="s",H424="s",J424="s",L424="s",N424="s",P424="s",R424="s"), 0, IF(OR(D424="a",F424="a",H424="a",J424="a",L424="a",N424="a",P424="a",R424="a"),V424,0))</f>
        <v>0</v>
      </c>
      <c r="V424" s="426">
        <v>15</v>
      </c>
      <c r="W424" s="82">
        <f>COUNTIF(D424:S424,"a")+COUNTIF(D424:S424,"s")+COUNTIF(T424,"na")</f>
        <v>0</v>
      </c>
      <c r="X424" s="717"/>
      <c r="Z424" s="697"/>
      <c r="AA424" s="698"/>
    </row>
    <row r="425" spans="1:27" ht="27.75" customHeight="1" thickBot="1" x14ac:dyDescent="0.25">
      <c r="A425" s="421"/>
      <c r="B425" s="310" t="s">
        <v>1303</v>
      </c>
      <c r="C425" s="124" t="s">
        <v>1308</v>
      </c>
      <c r="D425" s="744"/>
      <c r="E425" s="745"/>
      <c r="F425" s="744"/>
      <c r="G425" s="745"/>
      <c r="H425" s="744"/>
      <c r="I425" s="745"/>
      <c r="J425" s="744"/>
      <c r="K425" s="745"/>
      <c r="L425" s="744"/>
      <c r="M425" s="745"/>
      <c r="N425" s="744"/>
      <c r="O425" s="745"/>
      <c r="P425" s="744"/>
      <c r="Q425" s="745"/>
      <c r="R425" s="744"/>
      <c r="S425" s="745"/>
      <c r="T425" s="76"/>
      <c r="U425" s="71">
        <f>IF(OR(D425="s",F425="s",H425="s",J425="s",L425="s",N425="s",P425="s",R425="s"), 0, IF(OR(D425="a",F425="a",H425="a",J425="a",L425="a",N425="a",P425="a",R425="a"),V425,0))</f>
        <v>0</v>
      </c>
      <c r="V425" s="420">
        <v>10</v>
      </c>
      <c r="W425" s="82">
        <f>COUNTIF(D425:S425,"a")+COUNTIF(D425:S425,"s")</f>
        <v>0</v>
      </c>
      <c r="X425" s="717"/>
      <c r="Z425" s="697"/>
      <c r="AA425" s="698"/>
    </row>
    <row r="426" spans="1:27" ht="21" customHeight="1" thickTop="1" thickBot="1" x14ac:dyDescent="0.25">
      <c r="A426" s="421"/>
      <c r="B426" s="182"/>
      <c r="C426" s="173"/>
      <c r="D426" s="750" t="s">
        <v>662</v>
      </c>
      <c r="E426" s="779"/>
      <c r="F426" s="779"/>
      <c r="G426" s="779"/>
      <c r="H426" s="779"/>
      <c r="I426" s="779"/>
      <c r="J426" s="779"/>
      <c r="K426" s="779"/>
      <c r="L426" s="779"/>
      <c r="M426" s="779"/>
      <c r="N426" s="779"/>
      <c r="O426" s="779"/>
      <c r="P426" s="779"/>
      <c r="Q426" s="779"/>
      <c r="R426" s="779"/>
      <c r="S426" s="779"/>
      <c r="T426" s="780"/>
      <c r="U426" s="2">
        <f>SUM(U424:U425)</f>
        <v>0</v>
      </c>
      <c r="V426" s="418">
        <f>SUM(V424:V425)</f>
        <v>25</v>
      </c>
      <c r="W426" s="82"/>
      <c r="Z426" s="697"/>
      <c r="AA426" s="698"/>
    </row>
    <row r="427" spans="1:27" ht="21" customHeight="1" thickBot="1" x14ac:dyDescent="0.25">
      <c r="A427" s="421"/>
      <c r="B427" s="115"/>
      <c r="C427" s="267"/>
      <c r="D427" s="945"/>
      <c r="E427" s="741"/>
      <c r="F427" s="807">
        <v>0</v>
      </c>
      <c r="G427" s="808"/>
      <c r="H427" s="808"/>
      <c r="I427" s="808"/>
      <c r="J427" s="808"/>
      <c r="K427" s="808"/>
      <c r="L427" s="808"/>
      <c r="M427" s="808"/>
      <c r="N427" s="808"/>
      <c r="O427" s="808"/>
      <c r="P427" s="808"/>
      <c r="Q427" s="808"/>
      <c r="R427" s="808"/>
      <c r="S427" s="808"/>
      <c r="T427" s="808"/>
      <c r="U427" s="808"/>
      <c r="V427" s="809"/>
      <c r="W427" s="82"/>
      <c r="Z427" s="697"/>
      <c r="AA427" s="698"/>
    </row>
    <row r="428" spans="1:27" ht="30" customHeight="1" thickBot="1" x14ac:dyDescent="0.25">
      <c r="A428" s="421"/>
      <c r="B428" s="312">
        <v>5600</v>
      </c>
      <c r="C428" s="146" t="s">
        <v>48</v>
      </c>
      <c r="D428" s="27"/>
      <c r="E428" s="29"/>
      <c r="F428" s="36" t="s">
        <v>661</v>
      </c>
      <c r="G428" s="37"/>
      <c r="H428" s="26" t="s">
        <v>661</v>
      </c>
      <c r="I428" s="35"/>
      <c r="J428" s="49"/>
      <c r="K428" s="31"/>
      <c r="L428" s="27"/>
      <c r="M428" s="29"/>
      <c r="N428" s="30"/>
      <c r="O428" s="31"/>
      <c r="P428" s="27"/>
      <c r="Q428" s="29"/>
      <c r="R428" s="30"/>
      <c r="S428" s="31"/>
      <c r="T428" s="32"/>
      <c r="U428" s="48"/>
      <c r="V428" s="424"/>
      <c r="W428" s="82"/>
      <c r="Z428" s="697"/>
      <c r="AA428" s="698"/>
    </row>
    <row r="429" spans="1:27" ht="27.95" customHeight="1" x14ac:dyDescent="0.2">
      <c r="A429" s="421"/>
      <c r="B429" s="310" t="s">
        <v>417</v>
      </c>
      <c r="C429" s="272" t="s">
        <v>1097</v>
      </c>
      <c r="D429" s="748"/>
      <c r="E429" s="749"/>
      <c r="F429" s="748"/>
      <c r="G429" s="749"/>
      <c r="H429" s="748"/>
      <c r="I429" s="749"/>
      <c r="J429" s="748"/>
      <c r="K429" s="749"/>
      <c r="L429" s="748"/>
      <c r="M429" s="749"/>
      <c r="N429" s="748"/>
      <c r="O429" s="749"/>
      <c r="P429" s="748"/>
      <c r="Q429" s="749"/>
      <c r="R429" s="748"/>
      <c r="S429" s="749"/>
      <c r="T429" s="76"/>
      <c r="U429" s="70">
        <f>IF(OR(D429="s",F429="s",H429="s",J429="s",L429="s",N429="s",P429="s",R429="s"), 0, IF(OR(D429="a",F429="a",H429="a",J429="a",L429="a",N429="a",P429="a",R429="a"),V429,0))</f>
        <v>0</v>
      </c>
      <c r="V429" s="420">
        <v>20</v>
      </c>
      <c r="W429" s="82">
        <f>IF((COUNTIF(D429:S429,"a")+COUNTIF(D429:S429,"s"))&gt;0,IF(OR((COUNTIF(D431:S431,"a")+COUNTIF(D431:S431,"s"))),0,COUNTIF(D429:S429,"a")+COUNTIF(D429:S429,"s")),COUNTIF(D429:S429,"a")+COUNTIF(D429:S429,"s"))</f>
        <v>0</v>
      </c>
      <c r="X429" s="717"/>
      <c r="Z429" s="697" t="s">
        <v>656</v>
      </c>
      <c r="AA429" s="698"/>
    </row>
    <row r="430" spans="1:27" ht="27.95" customHeight="1" x14ac:dyDescent="0.2">
      <c r="A430" s="421"/>
      <c r="B430" s="321"/>
      <c r="C430" s="377"/>
      <c r="D430" s="795"/>
      <c r="E430" s="796"/>
      <c r="F430" s="796"/>
      <c r="G430" s="796"/>
      <c r="H430" s="796"/>
      <c r="I430" s="796"/>
      <c r="J430" s="796"/>
      <c r="K430" s="796"/>
      <c r="L430" s="796"/>
      <c r="M430" s="796"/>
      <c r="N430" s="796"/>
      <c r="O430" s="796"/>
      <c r="P430" s="796"/>
      <c r="Q430" s="796"/>
      <c r="R430" s="796"/>
      <c r="S430" s="796"/>
      <c r="T430" s="796"/>
      <c r="U430" s="796"/>
      <c r="V430" s="987"/>
      <c r="W430" s="82"/>
      <c r="Z430" s="697"/>
      <c r="AA430" s="698"/>
    </row>
    <row r="431" spans="1:27" ht="27.95" customHeight="1" thickBot="1" x14ac:dyDescent="0.25">
      <c r="A431" s="421"/>
      <c r="B431" s="319" t="s">
        <v>418</v>
      </c>
      <c r="C431" s="376" t="s">
        <v>317</v>
      </c>
      <c r="D431" s="742"/>
      <c r="E431" s="743"/>
      <c r="F431" s="742"/>
      <c r="G431" s="743"/>
      <c r="H431" s="742"/>
      <c r="I431" s="743"/>
      <c r="J431" s="742"/>
      <c r="K431" s="743"/>
      <c r="L431" s="742"/>
      <c r="M431" s="743"/>
      <c r="N431" s="742"/>
      <c r="O431" s="743"/>
      <c r="P431" s="742"/>
      <c r="Q431" s="743"/>
      <c r="R431" s="742"/>
      <c r="S431" s="743"/>
      <c r="T431" s="76"/>
      <c r="U431" s="108">
        <f>IF(OR(D431="s",F431="s",H431="s",J431="s",L431="s",N431="s",P431="s",R431="s"), 0, IF(OR(D431="a",F431="a",H431="a",J431="a",L431="a",N431="a",P431="a",R431="a"),V431,0))</f>
        <v>0</v>
      </c>
      <c r="V431" s="422">
        <v>20</v>
      </c>
      <c r="W431" s="82">
        <f>IF((COUNTIF(D431:S431,"a")+COUNTIF(D431:S431,"s"))&gt;0,IF((COUNTIF(D429:S429,"a")+COUNTIF(D429:S429,"s"))&gt;0,0,COUNTIF(D431:S431,"a")+COUNTIF(D431:S431,"s")), COUNTIF(D431:S431,"a")+COUNTIF(D431:S431,"s"))</f>
        <v>0</v>
      </c>
      <c r="X431" s="717"/>
      <c r="Z431" s="697"/>
      <c r="AA431" s="698"/>
    </row>
    <row r="432" spans="1:27" ht="21" customHeight="1" thickTop="1" thickBot="1" x14ac:dyDescent="0.25">
      <c r="A432" s="421"/>
      <c r="B432" s="182"/>
      <c r="C432" s="173"/>
      <c r="D432" s="750" t="s">
        <v>662</v>
      </c>
      <c r="E432" s="779"/>
      <c r="F432" s="779"/>
      <c r="G432" s="779"/>
      <c r="H432" s="779"/>
      <c r="I432" s="779"/>
      <c r="J432" s="779"/>
      <c r="K432" s="779"/>
      <c r="L432" s="779"/>
      <c r="M432" s="779"/>
      <c r="N432" s="779"/>
      <c r="O432" s="779"/>
      <c r="P432" s="779"/>
      <c r="Q432" s="779"/>
      <c r="R432" s="779"/>
      <c r="S432" s="779"/>
      <c r="T432" s="780"/>
      <c r="U432" s="2">
        <f>SUM(U429:U431)</f>
        <v>0</v>
      </c>
      <c r="V432" s="418">
        <v>20</v>
      </c>
      <c r="W432" s="82"/>
      <c r="Z432" s="697"/>
      <c r="AA432" s="698"/>
    </row>
    <row r="433" spans="1:27" ht="21" customHeight="1" thickBot="1" x14ac:dyDescent="0.25">
      <c r="A433" s="411"/>
      <c r="B433" s="115"/>
      <c r="C433" s="267"/>
      <c r="D433" s="945"/>
      <c r="E433" s="741"/>
      <c r="F433" s="1033">
        <v>20</v>
      </c>
      <c r="G433" s="746"/>
      <c r="H433" s="746"/>
      <c r="I433" s="746"/>
      <c r="J433" s="746"/>
      <c r="K433" s="746"/>
      <c r="L433" s="746"/>
      <c r="M433" s="746"/>
      <c r="N433" s="746"/>
      <c r="O433" s="746"/>
      <c r="P433" s="746"/>
      <c r="Q433" s="746"/>
      <c r="R433" s="746"/>
      <c r="S433" s="746"/>
      <c r="T433" s="746"/>
      <c r="U433" s="746"/>
      <c r="V433" s="747"/>
      <c r="W433" s="82"/>
      <c r="Z433" s="697"/>
      <c r="AA433" s="698"/>
    </row>
    <row r="434" spans="1:27" ht="30" customHeight="1" thickBot="1" x14ac:dyDescent="0.25">
      <c r="A434" s="565"/>
      <c r="B434" s="322">
        <v>5700</v>
      </c>
      <c r="C434" s="264" t="s">
        <v>49</v>
      </c>
      <c r="D434" s="26" t="s">
        <v>661</v>
      </c>
      <c r="E434" s="35"/>
      <c r="F434" s="26" t="s">
        <v>661</v>
      </c>
      <c r="G434" s="25"/>
      <c r="H434" s="26" t="s">
        <v>661</v>
      </c>
      <c r="I434" s="35"/>
      <c r="J434" s="49"/>
      <c r="K434" s="49"/>
      <c r="L434" s="27"/>
      <c r="M434" s="29"/>
      <c r="N434" s="49"/>
      <c r="O434" s="31"/>
      <c r="P434" s="27"/>
      <c r="Q434" s="29"/>
      <c r="R434" s="30"/>
      <c r="S434" s="31"/>
      <c r="T434" s="48"/>
      <c r="U434" s="48"/>
      <c r="V434" s="424"/>
      <c r="W434" s="82"/>
      <c r="Z434" s="697"/>
      <c r="AA434" s="698"/>
    </row>
    <row r="435" spans="1:27" ht="48" customHeight="1" thickBot="1" x14ac:dyDescent="0.25">
      <c r="A435" s="408"/>
      <c r="B435" s="312"/>
      <c r="C435" s="264" t="s">
        <v>1759</v>
      </c>
      <c r="D435" s="966"/>
      <c r="E435" s="967"/>
      <c r="F435" s="967"/>
      <c r="G435" s="967"/>
      <c r="H435" s="967"/>
      <c r="I435" s="967"/>
      <c r="J435" s="967"/>
      <c r="K435" s="967"/>
      <c r="L435" s="967"/>
      <c r="M435" s="967"/>
      <c r="N435" s="967"/>
      <c r="O435" s="967"/>
      <c r="P435" s="967"/>
      <c r="Q435" s="967"/>
      <c r="R435" s="967"/>
      <c r="S435" s="967"/>
      <c r="T435" s="967"/>
      <c r="U435" s="967"/>
      <c r="V435" s="968"/>
      <c r="W435" s="82"/>
      <c r="Z435" s="697"/>
      <c r="AA435" s="698"/>
    </row>
    <row r="436" spans="1:27" ht="45" customHeight="1" x14ac:dyDescent="0.2">
      <c r="A436" s="421"/>
      <c r="B436" s="311" t="s">
        <v>206</v>
      </c>
      <c r="C436" s="152" t="s">
        <v>45</v>
      </c>
      <c r="D436" s="744"/>
      <c r="E436" s="745"/>
      <c r="F436" s="744"/>
      <c r="G436" s="745"/>
      <c r="H436" s="744"/>
      <c r="I436" s="745"/>
      <c r="J436" s="744"/>
      <c r="K436" s="745"/>
      <c r="L436" s="744"/>
      <c r="M436" s="745"/>
      <c r="N436" s="744"/>
      <c r="O436" s="745"/>
      <c r="P436" s="744"/>
      <c r="Q436" s="745"/>
      <c r="R436" s="744"/>
      <c r="S436" s="745"/>
      <c r="T436" s="112"/>
      <c r="U436" s="71">
        <f t="shared" ref="U436:U447" si="63">IF(OR(D436="s",F436="s",H436="s",J436="s",L436="s",N436="s",P436="s",R436="s"), 0, IF(OR(D436="a",F436="a",H436="a",J436="a",L436="a",N436="a",P436="a",R436="a"),V436,0))</f>
        <v>0</v>
      </c>
      <c r="V436" s="420">
        <f>IF(T436="na",0,5)</f>
        <v>5</v>
      </c>
      <c r="W436" s="82">
        <f>IF((COUNTIF(D436:S436,"a")+COUNTIF(D436:S436,"s"))&gt;0,IF((COUNTIF(D440:S444,"a")+COUNTIF(D440:S444,"s"))&gt;0,0,COUNTIF(D436:S436,"a")+COUNTIF(D436:S436,"s")+COUNTIF(T436,"na")),COUNTIF(D436:S436,"a")+COUNTIF(D436:S436,"s")+COUNTIF(T436,"na"))</f>
        <v>0</v>
      </c>
      <c r="X436" s="717"/>
      <c r="Z436" s="697" t="s">
        <v>656</v>
      </c>
      <c r="AA436" s="698"/>
    </row>
    <row r="437" spans="1:27" ht="27.95" customHeight="1" x14ac:dyDescent="0.2">
      <c r="A437" s="421"/>
      <c r="B437" s="313" t="s">
        <v>207</v>
      </c>
      <c r="C437" s="147" t="s">
        <v>764</v>
      </c>
      <c r="D437" s="742"/>
      <c r="E437" s="743"/>
      <c r="F437" s="742"/>
      <c r="G437" s="743"/>
      <c r="H437" s="742"/>
      <c r="I437" s="743"/>
      <c r="J437" s="742"/>
      <c r="K437" s="743"/>
      <c r="L437" s="742"/>
      <c r="M437" s="743"/>
      <c r="N437" s="742"/>
      <c r="O437" s="743"/>
      <c r="P437" s="742"/>
      <c r="Q437" s="743"/>
      <c r="R437" s="742"/>
      <c r="S437" s="743"/>
      <c r="T437" s="113" t="str">
        <f>IF(T436="na","na","")</f>
        <v/>
      </c>
      <c r="U437" s="67">
        <f t="shared" si="63"/>
        <v>0</v>
      </c>
      <c r="V437" s="417">
        <f>IF(T437="na",0,5)</f>
        <v>5</v>
      </c>
      <c r="W437" s="82">
        <f>IF((COUNTIF(D437:S437,"a")+COUNTIF(D437:S437,"s"))&gt;0,IF((COUNTIF(D440:S444,"a")+COUNTIF(D440:S444,"s"))&gt;0,0,COUNTIF(D437:S437,"a")+COUNTIF(D437:S437,"s")+COUNTIF(T437,"na")),COUNTIF(D437:S437,"a")+COUNTIF(D437:S437,"s")+COUNTIF(T437,"na"))</f>
        <v>0</v>
      </c>
      <c r="X437" s="717"/>
      <c r="Z437" s="697" t="s">
        <v>656</v>
      </c>
      <c r="AA437" s="698"/>
    </row>
    <row r="438" spans="1:27" ht="45" customHeight="1" x14ac:dyDescent="0.2">
      <c r="A438" s="421"/>
      <c r="B438" s="313" t="s">
        <v>1760</v>
      </c>
      <c r="C438" s="147" t="s">
        <v>1767</v>
      </c>
      <c r="D438" s="742"/>
      <c r="E438" s="743"/>
      <c r="F438" s="742"/>
      <c r="G438" s="743"/>
      <c r="H438" s="742"/>
      <c r="I438" s="743"/>
      <c r="J438" s="742"/>
      <c r="K438" s="743"/>
      <c r="L438" s="742"/>
      <c r="M438" s="743"/>
      <c r="N438" s="742"/>
      <c r="O438" s="743"/>
      <c r="P438" s="742"/>
      <c r="Q438" s="743"/>
      <c r="R438" s="742"/>
      <c r="S438" s="743"/>
      <c r="T438" s="113" t="str">
        <f>IF(T436="na","na","")</f>
        <v/>
      </c>
      <c r="U438" s="67">
        <f t="shared" ref="U438" si="64">IF(OR(D438="s",F438="s",H438="s",J438="s",L438="s",N438="s",P438="s",R438="s"), 0, IF(OR(D438="a",F438="a",H438="a",J438="a",L438="a",N438="a",P438="a",R438="a"),V438,0))</f>
        <v>0</v>
      </c>
      <c r="V438" s="417">
        <f>IF(T438="na",0,10)</f>
        <v>10</v>
      </c>
      <c r="W438" s="82">
        <f>IF((COUNTIF(D438:S438,"a")+COUNTIF(D438:S438,"s"))&gt;0,IF((COUNTIF(D440:S444,"a")+COUNTIF(D440:S444,"s"))&gt;0,0,COUNTIF(D438:S438,"a")+COUNTIF(D438:S438,"s")+COUNTIF(T438,"na")),COUNTIF(D438:S438,"a")+COUNTIF(D438:S438,"s")+COUNTIF(T438,"na"))</f>
        <v>0</v>
      </c>
      <c r="X438" s="717"/>
      <c r="Z438" s="697"/>
      <c r="AA438" s="698"/>
    </row>
    <row r="439" spans="1:27" ht="48" customHeight="1" x14ac:dyDescent="0.2">
      <c r="A439" s="421"/>
      <c r="B439" s="313"/>
      <c r="C439" s="404" t="s">
        <v>1761</v>
      </c>
      <c r="D439" s="742"/>
      <c r="E439" s="814"/>
      <c r="F439" s="814"/>
      <c r="G439" s="814"/>
      <c r="H439" s="814"/>
      <c r="I439" s="814"/>
      <c r="J439" s="814"/>
      <c r="K439" s="814"/>
      <c r="L439" s="814"/>
      <c r="M439" s="814"/>
      <c r="N439" s="814"/>
      <c r="O439" s="814"/>
      <c r="P439" s="814"/>
      <c r="Q439" s="814"/>
      <c r="R439" s="814"/>
      <c r="S439" s="814"/>
      <c r="T439" s="814"/>
      <c r="U439" s="814"/>
      <c r="V439" s="743"/>
      <c r="W439" s="82"/>
      <c r="Z439" s="697"/>
      <c r="AA439" s="698"/>
    </row>
    <row r="440" spans="1:27" ht="106.5" customHeight="1" x14ac:dyDescent="0.2">
      <c r="A440" s="421"/>
      <c r="B440" s="313" t="s">
        <v>1762</v>
      </c>
      <c r="C440" s="147" t="s">
        <v>1769</v>
      </c>
      <c r="D440" s="742"/>
      <c r="E440" s="743"/>
      <c r="F440" s="742"/>
      <c r="G440" s="743"/>
      <c r="H440" s="742"/>
      <c r="I440" s="743"/>
      <c r="J440" s="742"/>
      <c r="K440" s="743"/>
      <c r="L440" s="742"/>
      <c r="M440" s="743"/>
      <c r="N440" s="742"/>
      <c r="O440" s="743"/>
      <c r="P440" s="742"/>
      <c r="Q440" s="743"/>
      <c r="R440" s="742"/>
      <c r="S440" s="743"/>
      <c r="T440" s="112"/>
      <c r="U440" s="67">
        <f t="shared" ref="U440:U443" si="65">IF(OR(D440="s",F440="s",H440="s",J440="s",L440="s",N440="s",P440="s",R440="s"), 0, IF(OR(D440="a",F440="a",H440="a",J440="a",L440="a",N440="a",P440="a",R440="a"),V440,0))</f>
        <v>0</v>
      </c>
      <c r="V440" s="417">
        <f>IF(T440="na",0,10)</f>
        <v>10</v>
      </c>
      <c r="W440" s="82">
        <f>IF((COUNTIF(D440:S440,"a")+COUNTIF(D440:S440,"s"))&gt;0,IF((COUNTIF(D436:S438,"a")+COUNTIF(D436:S438,"s"))&gt;0,0,COUNTIF(D440:S440,"a")+COUNTIF(D440:S440,"s")+COUNTIF(T440,"na")),COUNTIF(D440:S440,"a")+COUNTIF(D440:S440,"s")+COUNTIF(T440,"na"))</f>
        <v>0</v>
      </c>
      <c r="X440" s="717"/>
      <c r="Z440" s="697"/>
      <c r="AA440" s="698"/>
    </row>
    <row r="441" spans="1:27" ht="88.5" customHeight="1" x14ac:dyDescent="0.2">
      <c r="A441" s="421"/>
      <c r="B441" s="313" t="s">
        <v>1763</v>
      </c>
      <c r="C441" s="147" t="s">
        <v>1770</v>
      </c>
      <c r="D441" s="742"/>
      <c r="E441" s="743"/>
      <c r="F441" s="742"/>
      <c r="G441" s="743"/>
      <c r="H441" s="742"/>
      <c r="I441" s="743"/>
      <c r="J441" s="742"/>
      <c r="K441" s="743"/>
      <c r="L441" s="742"/>
      <c r="M441" s="743"/>
      <c r="N441" s="742"/>
      <c r="O441" s="743"/>
      <c r="P441" s="742"/>
      <c r="Q441" s="743"/>
      <c r="R441" s="742"/>
      <c r="S441" s="743"/>
      <c r="T441" s="547"/>
      <c r="U441" s="67">
        <f t="shared" si="65"/>
        <v>0</v>
      </c>
      <c r="V441" s="417">
        <f>IF(T440="na",0,5)</f>
        <v>5</v>
      </c>
      <c r="W441" s="82">
        <f>IF((COUNTIF(D441:S441,"a")+COUNTIF(D441:S441,"s"))&gt;0,IF((COUNTIF(D436:S438,"a")+COUNTIF(D436:S438,"s"))&gt;0,0,COUNTIF(D441:S441,"a")+COUNTIF(D441:S441,"s")+COUNTIF(T440,"na")),COUNTIF(D441:S441,"a")+COUNTIF(D441:S441,"s")+COUNTIF(T440,"na"))</f>
        <v>0</v>
      </c>
      <c r="X441" s="717"/>
      <c r="Z441" s="697"/>
      <c r="AA441" s="698"/>
    </row>
    <row r="442" spans="1:27" ht="45" customHeight="1" x14ac:dyDescent="0.2">
      <c r="A442" s="421"/>
      <c r="B442" s="313" t="s">
        <v>1768</v>
      </c>
      <c r="C442" s="147" t="s">
        <v>1771</v>
      </c>
      <c r="D442" s="742"/>
      <c r="E442" s="743"/>
      <c r="F442" s="742"/>
      <c r="G442" s="743"/>
      <c r="H442" s="742"/>
      <c r="I442" s="743"/>
      <c r="J442" s="742"/>
      <c r="K442" s="743"/>
      <c r="L442" s="742"/>
      <c r="M442" s="743"/>
      <c r="N442" s="742"/>
      <c r="O442" s="743"/>
      <c r="P442" s="742"/>
      <c r="Q442" s="743"/>
      <c r="R442" s="742"/>
      <c r="S442" s="743"/>
      <c r="T442" s="112"/>
      <c r="U442" s="67">
        <f t="shared" ref="U442" si="66">IF(OR(D442="s",F442="s",H442="s",J442="s",L442="s",N442="s",P442="s",R442="s"), 0, IF(OR(D442="a",F442="a",H442="a",J442="a",L442="a",N442="a",P442="a",R442="a"),V442,0))</f>
        <v>0</v>
      </c>
      <c r="V442" s="417">
        <f>IF(OR(T440="na",T442="na"),0,10)</f>
        <v>10</v>
      </c>
      <c r="W442" s="82">
        <f>IF((COUNTIF(D442:S442,"a")+COUNTIF(D442:S442,"s"))&gt;0,IF((COUNTIF(D436:S438,"a")+COUNTIF(D436:S438,"s"))&gt;0,0,COUNTIF(D442:S442,"a")+COUNTIF(D442:S442,"s")+COUNTIF(T442,"na")+COUNTIF(T440,"na")),COUNTIF(D442:S442,"a")+COUNTIF(D442:S442,"s")+COUNTIF(T442,"na")+COUNTIF(T440,"na"))</f>
        <v>0</v>
      </c>
      <c r="X442" s="717"/>
      <c r="Z442" s="697" t="s">
        <v>656</v>
      </c>
      <c r="AA442" s="698"/>
    </row>
    <row r="443" spans="1:27" ht="45" customHeight="1" x14ac:dyDescent="0.2">
      <c r="A443" s="421"/>
      <c r="B443" s="313" t="s">
        <v>1764</v>
      </c>
      <c r="C443" s="147" t="s">
        <v>1772</v>
      </c>
      <c r="D443" s="742"/>
      <c r="E443" s="743"/>
      <c r="F443" s="742"/>
      <c r="G443" s="743"/>
      <c r="H443" s="742"/>
      <c r="I443" s="743"/>
      <c r="J443" s="742"/>
      <c r="K443" s="743"/>
      <c r="L443" s="742"/>
      <c r="M443" s="743"/>
      <c r="N443" s="742"/>
      <c r="O443" s="743"/>
      <c r="P443" s="742"/>
      <c r="Q443" s="743"/>
      <c r="R443" s="742"/>
      <c r="S443" s="743"/>
      <c r="T443" s="547"/>
      <c r="U443" s="67">
        <f t="shared" si="65"/>
        <v>0</v>
      </c>
      <c r="V443" s="417">
        <f>IF(T440="na",0,10)</f>
        <v>10</v>
      </c>
      <c r="W443" s="82">
        <f>IF((COUNTIF(D443:S443,"a")+COUNTIF(D443:S443,"s"))&gt;0,IF((COUNTIF(D436:S438,"a")+COUNTIF(D436:S438,"s"))&gt;0,0,COUNTIF(D443:S443,"a")+COUNTIF(D443:S443,"s")+COUNTIF(T440,"na")),COUNTIF(D443:S443,"a")+COUNTIF(D443:S443,"s")+COUNTIF(T440,"na"))</f>
        <v>0</v>
      </c>
      <c r="X443" s="717"/>
      <c r="Z443" s="697" t="s">
        <v>656</v>
      </c>
      <c r="AA443" s="698"/>
    </row>
    <row r="444" spans="1:27" ht="27.95" customHeight="1" x14ac:dyDescent="0.2">
      <c r="A444" s="421"/>
      <c r="B444" s="313" t="s">
        <v>1765</v>
      </c>
      <c r="C444" s="147" t="s">
        <v>1773</v>
      </c>
      <c r="D444" s="742"/>
      <c r="E444" s="743"/>
      <c r="F444" s="742"/>
      <c r="G444" s="743"/>
      <c r="H444" s="742"/>
      <c r="I444" s="743"/>
      <c r="J444" s="742"/>
      <c r="K444" s="743"/>
      <c r="L444" s="742"/>
      <c r="M444" s="743"/>
      <c r="N444" s="742"/>
      <c r="O444" s="743"/>
      <c r="P444" s="742"/>
      <c r="Q444" s="743"/>
      <c r="R444" s="742"/>
      <c r="S444" s="743"/>
      <c r="T444" s="547"/>
      <c r="U444" s="67">
        <f t="shared" ref="U444" si="67">IF(OR(D444="s",F444="s",H444="s",J444="s",L444="s",N444="s",P444="s",R444="s"), 0, IF(OR(D444="a",F444="a",H444="a",J444="a",L444="a",N444="a",P444="a",R444="a"),V444,0))</f>
        <v>0</v>
      </c>
      <c r="V444" s="417">
        <f>IF(T440="na",0,10)</f>
        <v>10</v>
      </c>
      <c r="W444" s="82">
        <f>IF((COUNTIF(D444:S444,"a")+COUNTIF(D444:S444,"s"))&gt;0,IF((COUNTIF(D436:S438,"a")+COUNTIF(D436:S438,"s"))&gt;0,0,COUNTIF(D444:S444,"a")+COUNTIF(D444:S444,"s")+COUNTIF(T440,"na")),COUNTIF(D444:S444,"a")+COUNTIF(D444:S444,"s")+COUNTIF(T440,"na"))</f>
        <v>0</v>
      </c>
      <c r="X444" s="717"/>
      <c r="Z444" s="697" t="s">
        <v>656</v>
      </c>
      <c r="AA444" s="698"/>
    </row>
    <row r="445" spans="1:27" ht="30" customHeight="1" x14ac:dyDescent="0.2">
      <c r="A445" s="421"/>
      <c r="B445" s="313"/>
      <c r="C445" s="404" t="s">
        <v>1766</v>
      </c>
      <c r="D445" s="742"/>
      <c r="E445" s="814"/>
      <c r="F445" s="814"/>
      <c r="G445" s="814"/>
      <c r="H445" s="814"/>
      <c r="I445" s="814"/>
      <c r="J445" s="814"/>
      <c r="K445" s="814"/>
      <c r="L445" s="814"/>
      <c r="M445" s="814"/>
      <c r="N445" s="814"/>
      <c r="O445" s="814"/>
      <c r="P445" s="814"/>
      <c r="Q445" s="814"/>
      <c r="R445" s="814"/>
      <c r="S445" s="814"/>
      <c r="T445" s="814"/>
      <c r="U445" s="814"/>
      <c r="V445" s="743"/>
      <c r="W445" s="82"/>
      <c r="Z445" s="697"/>
      <c r="AA445" s="698"/>
    </row>
    <row r="446" spans="1:27" ht="27.95" customHeight="1" x14ac:dyDescent="0.2">
      <c r="A446" s="421"/>
      <c r="B446" s="313" t="s">
        <v>419</v>
      </c>
      <c r="C446" s="147" t="s">
        <v>453</v>
      </c>
      <c r="D446" s="742"/>
      <c r="E446" s="743"/>
      <c r="F446" s="742"/>
      <c r="G446" s="743"/>
      <c r="H446" s="742"/>
      <c r="I446" s="743"/>
      <c r="J446" s="742"/>
      <c r="K446" s="743"/>
      <c r="L446" s="742"/>
      <c r="M446" s="743"/>
      <c r="N446" s="742"/>
      <c r="O446" s="743"/>
      <c r="P446" s="742"/>
      <c r="Q446" s="743"/>
      <c r="R446" s="742"/>
      <c r="S446" s="743"/>
      <c r="T446" s="112"/>
      <c r="U446" s="67">
        <f t="shared" si="63"/>
        <v>0</v>
      </c>
      <c r="V446" s="417">
        <f>IF(T446="na",0,10)</f>
        <v>10</v>
      </c>
      <c r="W446" s="82">
        <f>COUNTIF(D446:S446,"a")+COUNTIF(D446:S446,"s")+COUNTIF(T446,"na")</f>
        <v>0</v>
      </c>
      <c r="X446" s="717"/>
      <c r="Z446" s="697" t="s">
        <v>656</v>
      </c>
      <c r="AA446" s="698"/>
    </row>
    <row r="447" spans="1:27" ht="45" customHeight="1" thickBot="1" x14ac:dyDescent="0.25">
      <c r="A447" s="421"/>
      <c r="B447" s="313" t="s">
        <v>420</v>
      </c>
      <c r="C447" s="147" t="s">
        <v>335</v>
      </c>
      <c r="D447" s="742"/>
      <c r="E447" s="743"/>
      <c r="F447" s="742"/>
      <c r="G447" s="743"/>
      <c r="H447" s="742"/>
      <c r="I447" s="743"/>
      <c r="J447" s="742"/>
      <c r="K447" s="743"/>
      <c r="L447" s="742"/>
      <c r="M447" s="743"/>
      <c r="N447" s="742"/>
      <c r="O447" s="743"/>
      <c r="P447" s="742"/>
      <c r="Q447" s="743"/>
      <c r="R447" s="742"/>
      <c r="S447" s="743"/>
      <c r="T447" s="113" t="str">
        <f>IF(T446="na", "na", "")</f>
        <v/>
      </c>
      <c r="U447" s="67">
        <f t="shared" si="63"/>
        <v>0</v>
      </c>
      <c r="V447" s="417">
        <f>IF(T447="na",0,10)</f>
        <v>10</v>
      </c>
      <c r="W447" s="82">
        <f>COUNTIF(D447:S447,"a")+COUNTIF(D447:S447,"s")+COUNTIF(T447,"na")</f>
        <v>0</v>
      </c>
      <c r="X447" s="717"/>
      <c r="Z447" s="697" t="s">
        <v>656</v>
      </c>
      <c r="AA447" s="698"/>
    </row>
    <row r="448" spans="1:27" s="702" customFormat="1" ht="21" customHeight="1" thickTop="1" thickBot="1" x14ac:dyDescent="0.25">
      <c r="A448" s="421"/>
      <c r="B448" s="100"/>
      <c r="C448" s="144"/>
      <c r="D448" s="750" t="s">
        <v>662</v>
      </c>
      <c r="E448" s="779"/>
      <c r="F448" s="779"/>
      <c r="G448" s="779"/>
      <c r="H448" s="779"/>
      <c r="I448" s="779"/>
      <c r="J448" s="779"/>
      <c r="K448" s="779"/>
      <c r="L448" s="779"/>
      <c r="M448" s="779"/>
      <c r="N448" s="779"/>
      <c r="O448" s="779"/>
      <c r="P448" s="779"/>
      <c r="Q448" s="779"/>
      <c r="R448" s="779"/>
      <c r="S448" s="779"/>
      <c r="T448" s="780"/>
      <c r="U448" s="2">
        <f>SUM(U436:U447)</f>
        <v>0</v>
      </c>
      <c r="V448" s="418">
        <f>SUM(V436:V447)</f>
        <v>85</v>
      </c>
      <c r="W448" s="299"/>
      <c r="X448" s="725"/>
      <c r="Y448" s="696"/>
      <c r="Z448" s="697"/>
      <c r="AA448" s="698"/>
    </row>
    <row r="449" spans="1:27" ht="21" customHeight="1" thickBot="1" x14ac:dyDescent="0.25">
      <c r="A449" s="411"/>
      <c r="B449" s="637"/>
      <c r="C449" s="660"/>
      <c r="D449" s="945"/>
      <c r="E449" s="741"/>
      <c r="F449" s="813">
        <f>IF(AND(T436="na",T440="na",T446="na"),0,IF(AND(T436="na",T442="na"),30,IF(T436="na",40,IF(T440="na",30,50))))</f>
        <v>50</v>
      </c>
      <c r="G449" s="746"/>
      <c r="H449" s="746"/>
      <c r="I449" s="746"/>
      <c r="J449" s="746"/>
      <c r="K449" s="746"/>
      <c r="L449" s="746"/>
      <c r="M449" s="746"/>
      <c r="N449" s="746"/>
      <c r="O449" s="746"/>
      <c r="P449" s="746"/>
      <c r="Q449" s="746"/>
      <c r="R449" s="746"/>
      <c r="S449" s="746"/>
      <c r="T449" s="746"/>
      <c r="U449" s="746"/>
      <c r="V449" s="747"/>
      <c r="W449" s="82"/>
      <c r="Z449" s="697"/>
      <c r="AA449" s="698"/>
    </row>
    <row r="450" spans="1:27" ht="30" customHeight="1" thickBot="1" x14ac:dyDescent="0.25">
      <c r="A450" s="408"/>
      <c r="B450" s="316" t="s">
        <v>993</v>
      </c>
      <c r="C450" s="392" t="s">
        <v>994</v>
      </c>
      <c r="D450" s="257"/>
      <c r="E450" s="255"/>
      <c r="F450" s="258"/>
      <c r="G450" s="256"/>
      <c r="H450" s="257"/>
      <c r="I450" s="255"/>
      <c r="J450" s="258"/>
      <c r="K450" s="99"/>
      <c r="L450" s="550" t="s">
        <v>661</v>
      </c>
      <c r="M450" s="255"/>
      <c r="N450" s="258"/>
      <c r="O450" s="256"/>
      <c r="P450" s="257"/>
      <c r="Q450" s="255"/>
      <c r="R450" s="258"/>
      <c r="S450" s="256"/>
      <c r="T450" s="390"/>
      <c r="U450" s="266"/>
      <c r="V450" s="428"/>
      <c r="W450" s="82"/>
      <c r="Z450" s="697"/>
      <c r="AA450" s="698"/>
    </row>
    <row r="451" spans="1:27" ht="27.95" customHeight="1" x14ac:dyDescent="0.2">
      <c r="A451" s="421"/>
      <c r="B451" s="319" t="s">
        <v>995</v>
      </c>
      <c r="C451" s="281" t="s">
        <v>1371</v>
      </c>
      <c r="D451" s="742"/>
      <c r="E451" s="743"/>
      <c r="F451" s="742"/>
      <c r="G451" s="743"/>
      <c r="H451" s="742"/>
      <c r="I451" s="743"/>
      <c r="J451" s="742"/>
      <c r="K451" s="743"/>
      <c r="L451" s="742"/>
      <c r="M451" s="743"/>
      <c r="N451" s="742"/>
      <c r="O451" s="743"/>
      <c r="P451" s="742"/>
      <c r="Q451" s="743"/>
      <c r="R451" s="742"/>
      <c r="S451" s="743"/>
      <c r="T451" s="76"/>
      <c r="U451" s="67">
        <f>IF(OR(D451="s",F451="s",H451="s",J451="s",L451="s",N451="s",P451="s",R451="s"), 0, IF(OR(D451="a",F451="a",H451="a",J451="a",L451="a",N451="a",P451="a",R451="a"),V451,0))</f>
        <v>0</v>
      </c>
      <c r="V451" s="417">
        <v>15</v>
      </c>
      <c r="W451" s="82">
        <f>COUNTIF(D451:S451,"a")+COUNTIF(D451:S451,"s")</f>
        <v>0</v>
      </c>
      <c r="X451" s="717"/>
      <c r="Z451" s="697"/>
      <c r="AA451" s="698"/>
    </row>
    <row r="452" spans="1:27" ht="27.95" customHeight="1" x14ac:dyDescent="0.2">
      <c r="A452" s="421"/>
      <c r="B452" s="383" t="s">
        <v>996</v>
      </c>
      <c r="C452" s="281" t="s">
        <v>1639</v>
      </c>
      <c r="D452" s="764"/>
      <c r="E452" s="765"/>
      <c r="F452" s="764"/>
      <c r="G452" s="765"/>
      <c r="H452" s="764"/>
      <c r="I452" s="765"/>
      <c r="J452" s="764"/>
      <c r="K452" s="765"/>
      <c r="L452" s="764"/>
      <c r="M452" s="765"/>
      <c r="N452" s="764"/>
      <c r="O452" s="765"/>
      <c r="P452" s="764"/>
      <c r="Q452" s="765"/>
      <c r="R452" s="764"/>
      <c r="S452" s="765"/>
      <c r="T452" s="76"/>
      <c r="U452" s="67">
        <f>IF(OR(D452="s",F452="s",H452="s",J452="s",L452="s",N452="s",P452="s",R452="s"), 0, IF(OR(D452="a",F452="a",H452="a",J452="a",L452="a",N452="a",P452="a",R452="a"),V452,0))</f>
        <v>0</v>
      </c>
      <c r="V452" s="422">
        <v>5</v>
      </c>
      <c r="W452" s="82">
        <f>COUNTIF(D452:S452,"a")+COUNTIF(D452:S452,"s")</f>
        <v>0</v>
      </c>
      <c r="X452" s="717"/>
      <c r="Z452" s="697"/>
      <c r="AA452" s="698"/>
    </row>
    <row r="453" spans="1:27" ht="27.95" customHeight="1" x14ac:dyDescent="0.2">
      <c r="A453" s="421"/>
      <c r="B453" s="319" t="s">
        <v>997</v>
      </c>
      <c r="C453" s="281" t="s">
        <v>1372</v>
      </c>
      <c r="D453" s="742"/>
      <c r="E453" s="743"/>
      <c r="F453" s="742"/>
      <c r="G453" s="743"/>
      <c r="H453" s="742"/>
      <c r="I453" s="743"/>
      <c r="J453" s="742"/>
      <c r="K453" s="743"/>
      <c r="L453" s="742"/>
      <c r="M453" s="743"/>
      <c r="N453" s="742"/>
      <c r="O453" s="743"/>
      <c r="P453" s="742"/>
      <c r="Q453" s="743"/>
      <c r="R453" s="742"/>
      <c r="S453" s="743"/>
      <c r="T453" s="76"/>
      <c r="U453" s="67">
        <f>IF(OR(D453="s",F453="s",H453="s",J453="s",L453="s",N453="s",P453="s",R453="s"), 0, IF(OR(D453="a",F453="a",H453="a",J453="a",L453="a",N453="a",P453="a",R453="a"),V453,0))</f>
        <v>0</v>
      </c>
      <c r="V453" s="417">
        <v>5</v>
      </c>
      <c r="W453" s="82">
        <f>COUNTIF(D453:S453,"a")+COUNTIF(D453:S453,"s")</f>
        <v>0</v>
      </c>
      <c r="X453" s="717"/>
      <c r="Z453" s="697"/>
      <c r="AA453" s="698"/>
    </row>
    <row r="454" spans="1:27" ht="41.25" thickBot="1" x14ac:dyDescent="0.25">
      <c r="A454" s="421"/>
      <c r="B454" s="319" t="s">
        <v>998</v>
      </c>
      <c r="C454" s="281" t="s">
        <v>76</v>
      </c>
      <c r="D454" s="764"/>
      <c r="E454" s="765"/>
      <c r="F454" s="764"/>
      <c r="G454" s="765"/>
      <c r="H454" s="764"/>
      <c r="I454" s="765"/>
      <c r="J454" s="764"/>
      <c r="K454" s="765"/>
      <c r="L454" s="764"/>
      <c r="M454" s="765"/>
      <c r="N454" s="764"/>
      <c r="O454" s="765"/>
      <c r="P454" s="764"/>
      <c r="Q454" s="765"/>
      <c r="R454" s="764"/>
      <c r="S454" s="765"/>
      <c r="T454" s="76"/>
      <c r="U454" s="67">
        <f>IF(OR(D454="s",F454="s",H454="s",J454="s",L454="s",N454="s",P454="s",R454="s"), 0, IF(OR(D454="a",F454="a",H454="a",J454="a",L454="a",N454="a",P454="a",R454="a"),V454,0))</f>
        <v>0</v>
      </c>
      <c r="V454" s="422">
        <v>5</v>
      </c>
      <c r="W454" s="82">
        <f>COUNTIF(D454:S454,"a")+COUNTIF(D454:S454,"s")</f>
        <v>0</v>
      </c>
      <c r="X454" s="717"/>
      <c r="Z454" s="697" t="s">
        <v>656</v>
      </c>
      <c r="AA454" s="698"/>
    </row>
    <row r="455" spans="1:27" ht="21" customHeight="1" thickTop="1" thickBot="1" x14ac:dyDescent="0.25">
      <c r="A455" s="421"/>
      <c r="B455" s="80"/>
      <c r="C455" s="177"/>
      <c r="D455" s="750" t="s">
        <v>662</v>
      </c>
      <c r="E455" s="779"/>
      <c r="F455" s="779"/>
      <c r="G455" s="779"/>
      <c r="H455" s="779"/>
      <c r="I455" s="779"/>
      <c r="J455" s="779"/>
      <c r="K455" s="779"/>
      <c r="L455" s="779"/>
      <c r="M455" s="779"/>
      <c r="N455" s="779"/>
      <c r="O455" s="779"/>
      <c r="P455" s="779"/>
      <c r="Q455" s="779"/>
      <c r="R455" s="779"/>
      <c r="S455" s="779"/>
      <c r="T455" s="780"/>
      <c r="U455" s="2">
        <f>SUM(U451:U454)</f>
        <v>0</v>
      </c>
      <c r="V455" s="418">
        <f>SUM(V451:V454)</f>
        <v>30</v>
      </c>
      <c r="W455" s="82"/>
      <c r="X455" s="721"/>
      <c r="Z455" s="697"/>
      <c r="AA455" s="698"/>
    </row>
    <row r="456" spans="1:27" ht="21" customHeight="1" thickBot="1" x14ac:dyDescent="0.25">
      <c r="A456" s="411"/>
      <c r="B456" s="462"/>
      <c r="C456" s="268"/>
      <c r="D456" s="945"/>
      <c r="E456" s="741"/>
      <c r="F456" s="950">
        <v>5</v>
      </c>
      <c r="G456" s="746"/>
      <c r="H456" s="746"/>
      <c r="I456" s="746"/>
      <c r="J456" s="746"/>
      <c r="K456" s="746"/>
      <c r="L456" s="746"/>
      <c r="M456" s="746"/>
      <c r="N456" s="746"/>
      <c r="O456" s="746"/>
      <c r="P456" s="746"/>
      <c r="Q456" s="746"/>
      <c r="R456" s="746"/>
      <c r="S456" s="746"/>
      <c r="T456" s="746"/>
      <c r="U456" s="746"/>
      <c r="V456" s="747"/>
      <c r="W456" s="82"/>
      <c r="Z456" s="697"/>
      <c r="AA456" s="698"/>
    </row>
    <row r="457" spans="1:27" ht="30" customHeight="1" thickBot="1" x14ac:dyDescent="0.25">
      <c r="A457" s="408"/>
      <c r="B457" s="316" t="s">
        <v>77</v>
      </c>
      <c r="C457" s="254" t="s">
        <v>1695</v>
      </c>
      <c r="D457" s="257"/>
      <c r="E457" s="255"/>
      <c r="F457" s="258"/>
      <c r="G457" s="256"/>
      <c r="H457" s="257"/>
      <c r="I457" s="255"/>
      <c r="J457" s="258"/>
      <c r="K457" s="99"/>
      <c r="L457" s="550" t="s">
        <v>661</v>
      </c>
      <c r="M457" s="255"/>
      <c r="N457" s="258"/>
      <c r="O457" s="256"/>
      <c r="P457" s="257"/>
      <c r="Q457" s="255"/>
      <c r="R457" s="258"/>
      <c r="S457" s="256"/>
      <c r="T457" s="390"/>
      <c r="U457" s="266"/>
      <c r="V457" s="428"/>
      <c r="W457" s="82"/>
      <c r="Z457" s="697"/>
      <c r="AA457" s="698"/>
    </row>
    <row r="458" spans="1:27" s="705" customFormat="1" ht="40.5" x14ac:dyDescent="0.2">
      <c r="A458" s="421"/>
      <c r="B458" s="310" t="s">
        <v>78</v>
      </c>
      <c r="C458" s="279" t="s">
        <v>1000</v>
      </c>
      <c r="D458" s="748"/>
      <c r="E458" s="749"/>
      <c r="F458" s="748"/>
      <c r="G458" s="749"/>
      <c r="H458" s="748"/>
      <c r="I458" s="749"/>
      <c r="J458" s="748"/>
      <c r="K458" s="749"/>
      <c r="L458" s="748"/>
      <c r="M458" s="749"/>
      <c r="N458" s="748"/>
      <c r="O458" s="749"/>
      <c r="P458" s="748"/>
      <c r="Q458" s="749"/>
      <c r="R458" s="748"/>
      <c r="S458" s="749"/>
      <c r="T458" s="76"/>
      <c r="U458" s="70">
        <f>IF(OR(D458="s",F458="s",H458="s",J458="s",L458="s",N458="s",P458="s",R458="s"), 0, IF(OR(D458="a",F458="a",H458="a",J458="a",L458="a",N458="a",P458="a",R458="a"),V458,0))</f>
        <v>0</v>
      </c>
      <c r="V458" s="420">
        <v>10</v>
      </c>
      <c r="W458" s="82">
        <f>COUNTIF(D458:S458,"a")+COUNTIF(D458:S458,"s")</f>
        <v>0</v>
      </c>
      <c r="X458" s="717"/>
      <c r="Y458" s="696"/>
      <c r="Z458" s="697" t="s">
        <v>656</v>
      </c>
      <c r="AA458" s="698"/>
    </row>
    <row r="459" spans="1:27" ht="40.5" x14ac:dyDescent="0.2">
      <c r="A459" s="421"/>
      <c r="B459" s="319" t="s">
        <v>79</v>
      </c>
      <c r="C459" s="288" t="s">
        <v>1001</v>
      </c>
      <c r="D459" s="742"/>
      <c r="E459" s="743"/>
      <c r="F459" s="742"/>
      <c r="G459" s="743"/>
      <c r="H459" s="742"/>
      <c r="I459" s="743"/>
      <c r="J459" s="742"/>
      <c r="K459" s="743"/>
      <c r="L459" s="742"/>
      <c r="M459" s="743"/>
      <c r="N459" s="742"/>
      <c r="O459" s="743"/>
      <c r="P459" s="742"/>
      <c r="Q459" s="743"/>
      <c r="R459" s="742"/>
      <c r="S459" s="743"/>
      <c r="T459" s="76"/>
      <c r="U459" s="67">
        <f>IF(OR(D459="s",F459="s",H459="s",J459="s",L459="s",N459="s",P459="s",R459="s"), 0, IF(OR(D459="a",F459="a",H459="a",J459="a",L459="a",N459="a",P459="a",R459="a"),V459,0))</f>
        <v>0</v>
      </c>
      <c r="V459" s="417">
        <v>40</v>
      </c>
      <c r="W459" s="82">
        <f>COUNTIF(D459:S459,"a")+COUNTIF(D459:S459,"s")</f>
        <v>0</v>
      </c>
      <c r="X459" s="717"/>
      <c r="Z459" s="697"/>
      <c r="AA459" s="698"/>
    </row>
    <row r="460" spans="1:27" ht="25.5" x14ac:dyDescent="0.2">
      <c r="A460" s="421"/>
      <c r="B460" s="319" t="s">
        <v>80</v>
      </c>
      <c r="C460" s="281" t="s">
        <v>1002</v>
      </c>
      <c r="D460" s="764"/>
      <c r="E460" s="765"/>
      <c r="F460" s="764"/>
      <c r="G460" s="765"/>
      <c r="H460" s="764"/>
      <c r="I460" s="765"/>
      <c r="J460" s="764"/>
      <c r="K460" s="765"/>
      <c r="L460" s="764"/>
      <c r="M460" s="765"/>
      <c r="N460" s="764"/>
      <c r="O460" s="765"/>
      <c r="P460" s="764"/>
      <c r="Q460" s="765"/>
      <c r="R460" s="764"/>
      <c r="S460" s="765"/>
      <c r="T460" s="76"/>
      <c r="U460" s="67">
        <f>IF(OR(D460="s",F460="s",H460="s",J460="s",L460="s",N460="s",P460="s",R460="s"), 0, IF(OR(D460="a",F460="a",H460="a",J460="a",L460="a",N460="a",P460="a",R460="a"),V460,0))</f>
        <v>0</v>
      </c>
      <c r="V460" s="422">
        <v>20</v>
      </c>
      <c r="W460" s="82">
        <f>COUNTIF(D460:S460,"a")+COUNTIF(D460:S460,"s")</f>
        <v>0</v>
      </c>
      <c r="X460" s="717"/>
      <c r="Z460" s="697" t="s">
        <v>656</v>
      </c>
      <c r="AA460" s="698"/>
    </row>
    <row r="461" spans="1:27" ht="45" customHeight="1" thickBot="1" x14ac:dyDescent="0.25">
      <c r="A461" s="421"/>
      <c r="B461" s="319" t="s">
        <v>1693</v>
      </c>
      <c r="C461" s="281" t="s">
        <v>1694</v>
      </c>
      <c r="D461" s="764"/>
      <c r="E461" s="765"/>
      <c r="F461" s="764"/>
      <c r="G461" s="765"/>
      <c r="H461" s="764"/>
      <c r="I461" s="765"/>
      <c r="J461" s="764"/>
      <c r="K461" s="765"/>
      <c r="L461" s="764"/>
      <c r="M461" s="765"/>
      <c r="N461" s="764"/>
      <c r="O461" s="765"/>
      <c r="P461" s="764"/>
      <c r="Q461" s="765"/>
      <c r="R461" s="764"/>
      <c r="S461" s="765"/>
      <c r="T461" s="76"/>
      <c r="U461" s="67">
        <f>IF(OR(D461="s",F461="s",H461="s",J461="s",L461="s",N461="s",P461="s",R461="s"), 0, IF(OR(D461="a",F461="a",H461="a",J461="a",L461="a",N461="a",P461="a",R461="a"),V461,0))</f>
        <v>0</v>
      </c>
      <c r="V461" s="422">
        <v>30</v>
      </c>
      <c r="W461" s="82">
        <f>COUNTIF(D461:S461,"a")+COUNTIF(D461:S461,"s")</f>
        <v>0</v>
      </c>
      <c r="X461" s="717"/>
      <c r="Z461" s="697"/>
      <c r="AA461" s="698"/>
    </row>
    <row r="462" spans="1:27" ht="21" customHeight="1" thickTop="1" thickBot="1" x14ac:dyDescent="0.25">
      <c r="A462" s="421"/>
      <c r="B462" s="80"/>
      <c r="C462" s="177"/>
      <c r="D462" s="750" t="s">
        <v>662</v>
      </c>
      <c r="E462" s="779"/>
      <c r="F462" s="779"/>
      <c r="G462" s="779"/>
      <c r="H462" s="779"/>
      <c r="I462" s="779"/>
      <c r="J462" s="779"/>
      <c r="K462" s="779"/>
      <c r="L462" s="779"/>
      <c r="M462" s="779"/>
      <c r="N462" s="779"/>
      <c r="O462" s="779"/>
      <c r="P462" s="779"/>
      <c r="Q462" s="779"/>
      <c r="R462" s="779"/>
      <c r="S462" s="779"/>
      <c r="T462" s="780"/>
      <c r="U462" s="2">
        <f>SUM(U458:U461)</f>
        <v>0</v>
      </c>
      <c r="V462" s="418">
        <f>SUM(V458:V461)</f>
        <v>100</v>
      </c>
      <c r="W462" s="82"/>
      <c r="X462" s="721"/>
      <c r="Z462" s="697"/>
      <c r="AA462" s="698"/>
    </row>
    <row r="463" spans="1:27" ht="21" customHeight="1" thickBot="1" x14ac:dyDescent="0.25">
      <c r="A463" s="411"/>
      <c r="B463" s="462"/>
      <c r="C463" s="268"/>
      <c r="D463" s="945"/>
      <c r="E463" s="741"/>
      <c r="F463" s="840">
        <v>20</v>
      </c>
      <c r="G463" s="841"/>
      <c r="H463" s="841"/>
      <c r="I463" s="841"/>
      <c r="J463" s="841"/>
      <c r="K463" s="841"/>
      <c r="L463" s="841"/>
      <c r="M463" s="841"/>
      <c r="N463" s="841"/>
      <c r="O463" s="841"/>
      <c r="P463" s="841"/>
      <c r="Q463" s="841"/>
      <c r="R463" s="841"/>
      <c r="S463" s="841"/>
      <c r="T463" s="841"/>
      <c r="U463" s="841"/>
      <c r="V463" s="842"/>
      <c r="W463" s="82"/>
      <c r="Z463" s="697"/>
      <c r="AA463" s="698"/>
    </row>
    <row r="464" spans="1:27" ht="30" customHeight="1" thickBot="1" x14ac:dyDescent="0.25">
      <c r="A464" s="408"/>
      <c r="B464" s="339"/>
      <c r="C464" s="955" t="s">
        <v>70</v>
      </c>
      <c r="D464" s="956"/>
      <c r="E464" s="956"/>
      <c r="F464" s="956"/>
      <c r="G464" s="956"/>
      <c r="H464" s="956"/>
      <c r="I464" s="956"/>
      <c r="J464" s="956"/>
      <c r="K464" s="956"/>
      <c r="L464" s="956"/>
      <c r="M464" s="956"/>
      <c r="N464" s="956"/>
      <c r="O464" s="956"/>
      <c r="P464" s="956"/>
      <c r="Q464" s="956"/>
      <c r="R464" s="956"/>
      <c r="S464" s="956"/>
      <c r="T464" s="956"/>
      <c r="U464" s="956"/>
      <c r="V464" s="957"/>
      <c r="W464" s="82"/>
      <c r="X464" s="722"/>
      <c r="Y464" s="699"/>
      <c r="Z464" s="697"/>
      <c r="AA464" s="698"/>
    </row>
    <row r="465" spans="1:27" ht="30" customHeight="1" thickBot="1" x14ac:dyDescent="0.25">
      <c r="A465" s="421"/>
      <c r="B465" s="330">
        <v>5810</v>
      </c>
      <c r="C465" s="146" t="s">
        <v>71</v>
      </c>
      <c r="D465" s="26"/>
      <c r="E465" s="25"/>
      <c r="F465" s="26" t="s">
        <v>661</v>
      </c>
      <c r="G465" s="25"/>
      <c r="H465" s="26"/>
      <c r="I465" s="25"/>
      <c r="J465" s="26"/>
      <c r="K465" s="25"/>
      <c r="L465" s="26" t="s">
        <v>661</v>
      </c>
      <c r="M465" s="25"/>
      <c r="N465" s="26" t="s">
        <v>661</v>
      </c>
      <c r="O465" s="25"/>
      <c r="P465" s="26"/>
      <c r="Q465" s="25"/>
      <c r="R465" s="26"/>
      <c r="S465" s="25"/>
      <c r="T465" s="40"/>
      <c r="U465" s="50"/>
      <c r="V465" s="50"/>
      <c r="W465" s="82"/>
      <c r="X465" s="722"/>
      <c r="Y465" s="699"/>
      <c r="Z465" s="697"/>
      <c r="AA465" s="698"/>
    </row>
    <row r="466" spans="1:27" ht="45" customHeight="1" x14ac:dyDescent="0.2">
      <c r="A466" s="421"/>
      <c r="B466" s="310" t="s">
        <v>72</v>
      </c>
      <c r="C466" s="124" t="s">
        <v>1319</v>
      </c>
      <c r="D466" s="748"/>
      <c r="E466" s="749"/>
      <c r="F466" s="748"/>
      <c r="G466" s="749"/>
      <c r="H466" s="748"/>
      <c r="I466" s="749"/>
      <c r="J466" s="748"/>
      <c r="K466" s="749"/>
      <c r="L466" s="748"/>
      <c r="M466" s="749"/>
      <c r="N466" s="748"/>
      <c r="O466" s="749"/>
      <c r="P466" s="748"/>
      <c r="Q466" s="749"/>
      <c r="R466" s="748"/>
      <c r="S466" s="749"/>
      <c r="T466" s="69"/>
      <c r="U466" s="70">
        <f>IF(OR(D466="s",F466="s",H466="s",J466="s",L466="s",N466="s",P466="s",R466="s"), 0, IF(OR(D466="a",F466="a",H466="a",J466="a",L466="a",N466="a",P466="a",R466="a"),V466,0))</f>
        <v>0</v>
      </c>
      <c r="V466" s="420">
        <v>60</v>
      </c>
      <c r="W466" s="82">
        <f>IF((COUNTIF(D466:S466,"a")+COUNTIF(D466:S466,"s"))&gt;0,IF(OR((COUNTIF(D467:S470,"a")+COUNTIF(D467:S470,"s"))),0,COUNTIF(D466:S466,"a")+COUNTIF(D466:S466,"s")),COUNTIF(D466:S466,"a")+COUNTIF(D466:S466,"s"))</f>
        <v>0</v>
      </c>
      <c r="X466" s="720"/>
      <c r="Y466" s="699"/>
      <c r="Z466" s="697"/>
      <c r="AA466" s="698"/>
    </row>
    <row r="467" spans="1:27" ht="88.5" customHeight="1" x14ac:dyDescent="0.2">
      <c r="A467" s="421"/>
      <c r="B467" s="320" t="s">
        <v>1318</v>
      </c>
      <c r="C467" s="253" t="s">
        <v>1325</v>
      </c>
      <c r="D467" s="742"/>
      <c r="E467" s="743"/>
      <c r="F467" s="742"/>
      <c r="G467" s="743"/>
      <c r="H467" s="742"/>
      <c r="I467" s="743"/>
      <c r="J467" s="742"/>
      <c r="K467" s="743"/>
      <c r="L467" s="742"/>
      <c r="M467" s="743"/>
      <c r="N467" s="742"/>
      <c r="O467" s="743"/>
      <c r="P467" s="742"/>
      <c r="Q467" s="743"/>
      <c r="R467" s="742"/>
      <c r="S467" s="743"/>
      <c r="T467" s="69"/>
      <c r="U467" s="109">
        <f>IF(OR(D467="s",F467="s",H467="s",J467="s",L467="s",N467="s",P467="s",R467="s"), 0, IF(OR(D467="a",F467="a",H467="a",J467="a",L467="a",N467="a",P467="a",R467="a"),V467,0))</f>
        <v>0</v>
      </c>
      <c r="V467" s="417">
        <v>50</v>
      </c>
      <c r="W467" s="82">
        <f>IF((COUNTIF(D467:S467,"a")+COUNTIF(D467:S467,"s"))&gt;0,IF(OR((COUNTIF(D466:S466,"a")+COUNTIF(D466:S466,"s")+COUNTIF(D468:S470,"a")+COUNTIF(D468:S470,"s"))),0,COUNTIF(D467:S467,"a")+COUNTIF(D467:S467,"s")),COUNTIF(D467:S467,"a")+COUNTIF(D467:S467,"s"))</f>
        <v>0</v>
      </c>
      <c r="X467" s="720"/>
      <c r="Y467" s="699"/>
      <c r="Z467" s="697"/>
      <c r="AA467" s="698"/>
    </row>
    <row r="468" spans="1:27" ht="45" customHeight="1" x14ac:dyDescent="0.2">
      <c r="A468" s="421"/>
      <c r="B468" s="320" t="s">
        <v>73</v>
      </c>
      <c r="C468" s="253" t="s">
        <v>1328</v>
      </c>
      <c r="D468" s="742"/>
      <c r="E468" s="743"/>
      <c r="F468" s="742"/>
      <c r="G468" s="743"/>
      <c r="H468" s="742"/>
      <c r="I468" s="743"/>
      <c r="J468" s="742"/>
      <c r="K468" s="743"/>
      <c r="L468" s="742"/>
      <c r="M468" s="743"/>
      <c r="N468" s="742"/>
      <c r="O468" s="743"/>
      <c r="P468" s="742"/>
      <c r="Q468" s="743"/>
      <c r="R468" s="742"/>
      <c r="S468" s="743"/>
      <c r="T468" s="69"/>
      <c r="U468" s="109">
        <f>IF(OR(D468="s",F468="s",H468="s",J468="s",L468="s",N468="s",P468="s",R468="s"), 0, IF(OR(D468="a",F468="a",H468="a",J468="a",L468="a",N468="a",P468="a",R468="a"),V468,0))</f>
        <v>0</v>
      </c>
      <c r="V468" s="417">
        <v>25</v>
      </c>
      <c r="W468" s="82">
        <f>IF((COUNTIF(D468:S468,"a")+COUNTIF(D468:S468,"s"))&gt;0,IF(OR((COUNTIF(D466:S467,"a")+COUNTIF(D466:S467,"s"))),0,COUNTIF(D468:S468,"a")+COUNTIF(D468:S468,"s")),COUNTIF(D468:S468,"a")+COUNTIF(D468:S468,"s"))</f>
        <v>0</v>
      </c>
      <c r="X468" s="720"/>
      <c r="Y468" s="699"/>
      <c r="Z468" s="697"/>
      <c r="AA468" s="698"/>
    </row>
    <row r="469" spans="1:27" ht="45" customHeight="1" x14ac:dyDescent="0.2">
      <c r="A469" s="421"/>
      <c r="B469" s="320" t="s">
        <v>999</v>
      </c>
      <c r="C469" s="253" t="s">
        <v>1320</v>
      </c>
      <c r="D469" s="742"/>
      <c r="E469" s="743"/>
      <c r="F469" s="742"/>
      <c r="G469" s="743"/>
      <c r="H469" s="742"/>
      <c r="I469" s="743"/>
      <c r="J469" s="742"/>
      <c r="K469" s="743"/>
      <c r="L469" s="742"/>
      <c r="M469" s="743"/>
      <c r="N469" s="742"/>
      <c r="O469" s="743"/>
      <c r="P469" s="742"/>
      <c r="Q469" s="743"/>
      <c r="R469" s="742"/>
      <c r="S469" s="743"/>
      <c r="T469" s="69"/>
      <c r="U469" s="109">
        <f>IF(OR(D469="s",F469="s",H469="s",J469="s",L469="s",N469="s",P469="s",R469="s"), 0, IF(OR(D469="a",F469="a",H469="a",J469="a",L469="a",N469="a",P469="a",R469="a"),V469,0))</f>
        <v>0</v>
      </c>
      <c r="V469" s="417">
        <v>15</v>
      </c>
      <c r="W469" s="82">
        <f>IF((COUNTIF(D469:S469,"a")+COUNTIF(D469:S469,"s"))&gt;0,IF(OR((COUNTIF(D466:S467,"a")+COUNTIF(D466:S467,"s"))),0,COUNTIF(D469:S469,"a")+COUNTIF(D469:S469,"s")),COUNTIF(D469:S469,"a")+COUNTIF(D469:S469,"s"))</f>
        <v>0</v>
      </c>
      <c r="X469" s="720"/>
      <c r="Y469" s="699"/>
      <c r="Z469" s="697" t="s">
        <v>656</v>
      </c>
      <c r="AA469" s="698"/>
    </row>
    <row r="470" spans="1:27" ht="88.5" customHeight="1" thickBot="1" x14ac:dyDescent="0.25">
      <c r="A470" s="421"/>
      <c r="B470" s="545" t="s">
        <v>954</v>
      </c>
      <c r="C470" s="546" t="s">
        <v>1321</v>
      </c>
      <c r="D470" s="742"/>
      <c r="E470" s="743"/>
      <c r="F470" s="742"/>
      <c r="G470" s="743"/>
      <c r="H470" s="742"/>
      <c r="I470" s="743"/>
      <c r="J470" s="742"/>
      <c r="K470" s="743"/>
      <c r="L470" s="742"/>
      <c r="M470" s="743"/>
      <c r="N470" s="742"/>
      <c r="O470" s="743"/>
      <c r="P470" s="742"/>
      <c r="Q470" s="743"/>
      <c r="R470" s="742"/>
      <c r="S470" s="743"/>
      <c r="T470" s="547"/>
      <c r="U470" s="109">
        <f>IF(OR(D470="s",F470="s",H470="s",J470="s",L470="s",N470="s",P470="s",R470="s"), 0, IF(OR(D470="a",F470="a",H470="a",J470="a",L470="a",N470="a",P470="a",R470="a"),V470,0))</f>
        <v>0</v>
      </c>
      <c r="V470" s="417">
        <v>5</v>
      </c>
      <c r="W470" s="82">
        <f>IF((COUNTIF(D470:S470,"a")+COUNTIF(D470:S470,"s"))&gt;0,IF(OR((COUNTIF(D466:S467,"a")+COUNTIF(D466:S467,"s"))),0,COUNTIF(D470:S470,"a")+COUNTIF(D470:S470,"s")),COUNTIF(D470:S470,"a")+COUNTIF(D470:S470,"s"))</f>
        <v>0</v>
      </c>
      <c r="X470" s="720"/>
      <c r="Y470" s="699"/>
      <c r="Z470" s="697"/>
      <c r="AA470" s="698"/>
    </row>
    <row r="471" spans="1:27" ht="21" customHeight="1" thickTop="1" thickBot="1" x14ac:dyDescent="0.25">
      <c r="A471" s="421"/>
      <c r="B471" s="12"/>
      <c r="C471" s="179"/>
      <c r="D471" s="750" t="s">
        <v>662</v>
      </c>
      <c r="E471" s="779"/>
      <c r="F471" s="779"/>
      <c r="G471" s="779"/>
      <c r="H471" s="779"/>
      <c r="I471" s="779"/>
      <c r="J471" s="779"/>
      <c r="K471" s="779"/>
      <c r="L471" s="779"/>
      <c r="M471" s="779"/>
      <c r="N471" s="779"/>
      <c r="O471" s="779"/>
      <c r="P471" s="779"/>
      <c r="Q471" s="779"/>
      <c r="R471" s="779"/>
      <c r="S471" s="779"/>
      <c r="T471" s="780"/>
      <c r="U471" s="2">
        <f>SUM(U466:U470)</f>
        <v>0</v>
      </c>
      <c r="V471" s="418">
        <f>SUM(V466)</f>
        <v>60</v>
      </c>
      <c r="W471" s="82"/>
      <c r="X471" s="724"/>
      <c r="Y471" s="699"/>
      <c r="Z471" s="697"/>
      <c r="AA471" s="698"/>
    </row>
    <row r="472" spans="1:27" ht="21" customHeight="1" thickBot="1" x14ac:dyDescent="0.25">
      <c r="A472" s="411"/>
      <c r="B472" s="262"/>
      <c r="C472" s="380"/>
      <c r="D472" s="945"/>
      <c r="E472" s="741"/>
      <c r="F472" s="965">
        <v>15</v>
      </c>
      <c r="G472" s="746"/>
      <c r="H472" s="746"/>
      <c r="I472" s="746"/>
      <c r="J472" s="746"/>
      <c r="K472" s="746"/>
      <c r="L472" s="746"/>
      <c r="M472" s="746"/>
      <c r="N472" s="746"/>
      <c r="O472" s="746"/>
      <c r="P472" s="746"/>
      <c r="Q472" s="746"/>
      <c r="R472" s="746"/>
      <c r="S472" s="746"/>
      <c r="T472" s="746"/>
      <c r="U472" s="746"/>
      <c r="V472" s="747"/>
      <c r="W472" s="82"/>
      <c r="X472" s="722"/>
      <c r="Y472" s="699"/>
      <c r="Z472" s="697"/>
      <c r="AA472" s="698"/>
    </row>
    <row r="473" spans="1:27" ht="30" customHeight="1" thickBot="1" x14ac:dyDescent="0.25">
      <c r="A473" s="408"/>
      <c r="B473" s="659">
        <v>5811</v>
      </c>
      <c r="C473" s="251" t="s">
        <v>770</v>
      </c>
      <c r="D473" s="550"/>
      <c r="E473" s="249"/>
      <c r="F473" s="550"/>
      <c r="G473" s="249"/>
      <c r="H473" s="550"/>
      <c r="I473" s="249"/>
      <c r="J473" s="550"/>
      <c r="K473" s="249"/>
      <c r="L473" s="550" t="s">
        <v>661</v>
      </c>
      <c r="M473" s="249"/>
      <c r="N473" s="550" t="s">
        <v>661</v>
      </c>
      <c r="O473" s="249"/>
      <c r="P473" s="550"/>
      <c r="Q473" s="249"/>
      <c r="R473" s="550"/>
      <c r="S473" s="249"/>
      <c r="T473" s="557"/>
      <c r="U473" s="558"/>
      <c r="V473" s="558"/>
      <c r="W473" s="82"/>
      <c r="X473" s="722"/>
      <c r="Y473" s="699"/>
      <c r="Z473" s="697"/>
      <c r="AA473" s="698"/>
    </row>
    <row r="474" spans="1:27" ht="27.95" customHeight="1" thickBot="1" x14ac:dyDescent="0.25">
      <c r="A474" s="421"/>
      <c r="B474" s="78" t="s">
        <v>508</v>
      </c>
      <c r="C474" s="124" t="s">
        <v>769</v>
      </c>
      <c r="D474" s="748"/>
      <c r="E474" s="749"/>
      <c r="F474" s="748"/>
      <c r="G474" s="749"/>
      <c r="H474" s="748"/>
      <c r="I474" s="749"/>
      <c r="J474" s="748"/>
      <c r="K474" s="749"/>
      <c r="L474" s="748"/>
      <c r="M474" s="749"/>
      <c r="N474" s="748"/>
      <c r="O474" s="749"/>
      <c r="P474" s="748"/>
      <c r="Q474" s="749"/>
      <c r="R474" s="748"/>
      <c r="S474" s="749"/>
      <c r="T474" s="66"/>
      <c r="U474" s="70">
        <f>IF(OR(D474="s",F474="s",H474="s",J474="s",L474="s",N474="s",P474="s",R474="s"), 0, IF(OR(D474="a",F474="a",H474="a",J474="a",L474="a",N474="a",P474="a",R474="a",T474="na"),V474,0))</f>
        <v>0</v>
      </c>
      <c r="V474" s="420">
        <v>20</v>
      </c>
      <c r="W474" s="82">
        <f>COUNTIF(D474:S474,"a")+COUNTIF(D474:S474,"s")+COUNTIF(T474,"na")</f>
        <v>0</v>
      </c>
      <c r="X474" s="720"/>
      <c r="Y474" s="699"/>
      <c r="Z474" s="697"/>
      <c r="AA474" s="698"/>
    </row>
    <row r="475" spans="1:27" ht="21" customHeight="1" thickTop="1" thickBot="1" x14ac:dyDescent="0.25">
      <c r="A475" s="421"/>
      <c r="B475" s="12"/>
      <c r="C475" s="179"/>
      <c r="D475" s="750" t="s">
        <v>662</v>
      </c>
      <c r="E475" s="779"/>
      <c r="F475" s="779"/>
      <c r="G475" s="779"/>
      <c r="H475" s="779"/>
      <c r="I475" s="779"/>
      <c r="J475" s="779"/>
      <c r="K475" s="779"/>
      <c r="L475" s="779"/>
      <c r="M475" s="779"/>
      <c r="N475" s="779"/>
      <c r="O475" s="779"/>
      <c r="P475" s="779"/>
      <c r="Q475" s="779"/>
      <c r="R475" s="779"/>
      <c r="S475" s="779"/>
      <c r="T475" s="780"/>
      <c r="U475" s="2">
        <f>SUM(U474:U474)</f>
        <v>0</v>
      </c>
      <c r="V475" s="418">
        <f>SUM(V474:V474)</f>
        <v>20</v>
      </c>
      <c r="W475" s="82"/>
      <c r="X475" s="724"/>
      <c r="Y475" s="699"/>
      <c r="Z475" s="697"/>
      <c r="AA475" s="698"/>
    </row>
    <row r="476" spans="1:27" ht="21" customHeight="1" thickBot="1" x14ac:dyDescent="0.25">
      <c r="A476" s="421"/>
      <c r="B476" s="368"/>
      <c r="C476" s="165"/>
      <c r="D476" s="945"/>
      <c r="E476" s="741"/>
      <c r="F476" s="951">
        <v>0</v>
      </c>
      <c r="G476" s="746"/>
      <c r="H476" s="746"/>
      <c r="I476" s="746"/>
      <c r="J476" s="746"/>
      <c r="K476" s="746"/>
      <c r="L476" s="746"/>
      <c r="M476" s="746"/>
      <c r="N476" s="746"/>
      <c r="O476" s="746"/>
      <c r="P476" s="746"/>
      <c r="Q476" s="746"/>
      <c r="R476" s="746"/>
      <c r="S476" s="746"/>
      <c r="T476" s="746"/>
      <c r="U476" s="746"/>
      <c r="V476" s="747"/>
      <c r="W476" s="82"/>
      <c r="X476" s="722"/>
      <c r="Y476" s="699"/>
      <c r="Z476" s="697"/>
      <c r="AA476" s="698"/>
    </row>
    <row r="477" spans="1:27" ht="30" customHeight="1" thickBot="1" x14ac:dyDescent="0.25">
      <c r="A477" s="421"/>
      <c r="B477" s="330">
        <v>5812</v>
      </c>
      <c r="C477" s="146" t="s">
        <v>771</v>
      </c>
      <c r="D477" s="26"/>
      <c r="E477" s="25"/>
      <c r="F477" s="26"/>
      <c r="G477" s="25"/>
      <c r="H477" s="26"/>
      <c r="I477" s="25"/>
      <c r="J477" s="26"/>
      <c r="K477" s="25"/>
      <c r="L477" s="26" t="s">
        <v>661</v>
      </c>
      <c r="M477" s="25"/>
      <c r="N477" s="26" t="s">
        <v>661</v>
      </c>
      <c r="O477" s="25"/>
      <c r="P477" s="26"/>
      <c r="Q477" s="25"/>
      <c r="R477" s="26"/>
      <c r="S477" s="25"/>
      <c r="T477" s="40"/>
      <c r="U477" s="50"/>
      <c r="V477" s="50"/>
      <c r="W477" s="82"/>
      <c r="X477" s="722"/>
      <c r="Y477" s="699"/>
      <c r="Z477" s="697"/>
      <c r="AA477" s="698"/>
    </row>
    <row r="478" spans="1:27" ht="27.95" customHeight="1" x14ac:dyDescent="0.2">
      <c r="A478" s="421"/>
      <c r="B478" s="310" t="s">
        <v>278</v>
      </c>
      <c r="C478" s="124" t="s">
        <v>587</v>
      </c>
      <c r="D478" s="748"/>
      <c r="E478" s="749"/>
      <c r="F478" s="748"/>
      <c r="G478" s="749"/>
      <c r="H478" s="748"/>
      <c r="I478" s="749"/>
      <c r="J478" s="748"/>
      <c r="K478" s="749"/>
      <c r="L478" s="748"/>
      <c r="M478" s="749"/>
      <c r="N478" s="748"/>
      <c r="O478" s="749"/>
      <c r="P478" s="748"/>
      <c r="Q478" s="749"/>
      <c r="R478" s="748"/>
      <c r="S478" s="749"/>
      <c r="T478" s="69"/>
      <c r="U478" s="70">
        <f>IF(OR(D478="s",F478="s",H478="s",J478="s",L478="s",N478="s",P478="s",R478="s"), 0, IF(OR(D478="a",F478="a",H478="a",J478="a",L478="a",N478="a",P478="a",R478="a"),V478,0))</f>
        <v>0</v>
      </c>
      <c r="V478" s="420">
        <v>15</v>
      </c>
      <c r="W478" s="82">
        <f>COUNTIF(D478:S478,"a")+COUNTIF(D478:S478,"s")</f>
        <v>0</v>
      </c>
      <c r="X478" s="720"/>
      <c r="Y478" s="699"/>
      <c r="Z478" s="697"/>
      <c r="AA478" s="698"/>
    </row>
    <row r="479" spans="1:27" ht="27.95" customHeight="1" x14ac:dyDescent="0.2">
      <c r="A479" s="421"/>
      <c r="B479" s="319" t="s">
        <v>279</v>
      </c>
      <c r="C479" s="147" t="s">
        <v>14</v>
      </c>
      <c r="D479" s="742"/>
      <c r="E479" s="743"/>
      <c r="F479" s="742"/>
      <c r="G479" s="743"/>
      <c r="H479" s="742"/>
      <c r="I479" s="743"/>
      <c r="J479" s="742"/>
      <c r="K479" s="743"/>
      <c r="L479" s="742"/>
      <c r="M479" s="743"/>
      <c r="N479" s="742"/>
      <c r="O479" s="743"/>
      <c r="P479" s="742"/>
      <c r="Q479" s="743"/>
      <c r="R479" s="742"/>
      <c r="S479" s="743"/>
      <c r="T479" s="69"/>
      <c r="U479" s="67">
        <f>IF(OR(D479="s",F479="s",H479="s",J479="s",L479="s",N479="s",P479="s",R479="s"), 0, IF(OR(D479="a",F479="a",H479="a",J479="a",L479="a",N479="a",P479="a",R479="a"),V479,0))</f>
        <v>0</v>
      </c>
      <c r="V479" s="417">
        <v>10</v>
      </c>
      <c r="W479" s="82">
        <f>COUNTIF(D479:S479,"a")+COUNTIF(D479:S479,"s")</f>
        <v>0</v>
      </c>
      <c r="X479" s="720"/>
      <c r="Y479" s="699"/>
      <c r="Z479" s="697"/>
      <c r="AA479" s="698"/>
    </row>
    <row r="480" spans="1:27" ht="27.95" customHeight="1" x14ac:dyDescent="0.2">
      <c r="A480" s="421"/>
      <c r="B480" s="319" t="s">
        <v>280</v>
      </c>
      <c r="C480" s="147" t="s">
        <v>757</v>
      </c>
      <c r="D480" s="742"/>
      <c r="E480" s="743"/>
      <c r="F480" s="742"/>
      <c r="G480" s="743"/>
      <c r="H480" s="742"/>
      <c r="I480" s="743"/>
      <c r="J480" s="742"/>
      <c r="K480" s="743"/>
      <c r="L480" s="742"/>
      <c r="M480" s="743"/>
      <c r="N480" s="742"/>
      <c r="O480" s="743"/>
      <c r="P480" s="742"/>
      <c r="Q480" s="743"/>
      <c r="R480" s="742"/>
      <c r="S480" s="743"/>
      <c r="T480" s="69"/>
      <c r="U480" s="67">
        <f>IF(OR(D480="s",F480="s",H480="s",J480="s",L480="s",N480="s",P480="s",R480="s"), 0, IF(OR(D480="a",F480="a",H480="a",J480="a",L480="a",N480="a",P480="a",R480="a"),V480,0))</f>
        <v>0</v>
      </c>
      <c r="V480" s="417">
        <v>10</v>
      </c>
      <c r="W480" s="82">
        <f>COUNTIF(D480:S480,"a")+COUNTIF(D480:S480,"s")</f>
        <v>0</v>
      </c>
      <c r="X480" s="720"/>
      <c r="Y480" s="699"/>
      <c r="Z480" s="697"/>
      <c r="AA480" s="698"/>
    </row>
    <row r="481" spans="1:27" ht="27.95" customHeight="1" x14ac:dyDescent="0.2">
      <c r="A481" s="421"/>
      <c r="B481" s="319" t="s">
        <v>648</v>
      </c>
      <c r="C481" s="147" t="s">
        <v>758</v>
      </c>
      <c r="D481" s="742"/>
      <c r="E481" s="743"/>
      <c r="F481" s="742"/>
      <c r="G481" s="743"/>
      <c r="H481" s="742"/>
      <c r="I481" s="743"/>
      <c r="J481" s="742"/>
      <c r="K481" s="743"/>
      <c r="L481" s="742"/>
      <c r="M481" s="743"/>
      <c r="N481" s="742"/>
      <c r="O481" s="743"/>
      <c r="P481" s="742"/>
      <c r="Q481" s="743"/>
      <c r="R481" s="742"/>
      <c r="S481" s="743"/>
      <c r="T481" s="69"/>
      <c r="U481" s="67">
        <f>IF(OR(D481="s",F481="s",H481="s",J481="s",L481="s",N481="s",P481="s",R481="s"), 0, IF(OR(D481="a",F481="a",H481="a",J481="a",L481="a",N481="a",P481="a",R481="a"),V481,0))</f>
        <v>0</v>
      </c>
      <c r="V481" s="417">
        <v>10</v>
      </c>
      <c r="W481" s="82">
        <f>COUNTIF(D481:S481,"a")+COUNTIF(D481:S481,"s")</f>
        <v>0</v>
      </c>
      <c r="X481" s="720"/>
      <c r="Y481" s="699"/>
      <c r="Z481" s="697"/>
      <c r="AA481" s="698"/>
    </row>
    <row r="482" spans="1:27" ht="67.7" customHeight="1" thickBot="1" x14ac:dyDescent="0.25">
      <c r="A482" s="421"/>
      <c r="B482" s="319" t="s">
        <v>649</v>
      </c>
      <c r="C482" s="147" t="s">
        <v>759</v>
      </c>
      <c r="D482" s="742"/>
      <c r="E482" s="743"/>
      <c r="F482" s="742"/>
      <c r="G482" s="743"/>
      <c r="H482" s="742"/>
      <c r="I482" s="743"/>
      <c r="J482" s="742"/>
      <c r="K482" s="743"/>
      <c r="L482" s="742"/>
      <c r="M482" s="743"/>
      <c r="N482" s="742"/>
      <c r="O482" s="743"/>
      <c r="P482" s="742"/>
      <c r="Q482" s="743"/>
      <c r="R482" s="742"/>
      <c r="S482" s="743"/>
      <c r="T482" s="66"/>
      <c r="U482" s="67">
        <f>IF(OR(D482="s",F482="s",H482="s",J482="s",L482="s",N482="s",P482="s",R482="s"), 0, IF(OR(D482="a",F482="a",H482="a",J482="a",L482="a",N482="a",P482="a",R482="a"),V482,0))</f>
        <v>0</v>
      </c>
      <c r="V482" s="417">
        <v>10</v>
      </c>
      <c r="W482" s="82">
        <f>COUNTIF(D482:S482,"a")+COUNTIF(D482:S482,"s")+COUNTIF(T482,"na")</f>
        <v>0</v>
      </c>
      <c r="X482" s="720"/>
      <c r="Y482" s="699"/>
      <c r="Z482" s="697"/>
      <c r="AA482" s="698"/>
    </row>
    <row r="483" spans="1:27" ht="21" customHeight="1" thickTop="1" thickBot="1" x14ac:dyDescent="0.25">
      <c r="A483" s="421"/>
      <c r="B483" s="12"/>
      <c r="C483" s="179"/>
      <c r="D483" s="750" t="s">
        <v>662</v>
      </c>
      <c r="E483" s="779"/>
      <c r="F483" s="779"/>
      <c r="G483" s="779"/>
      <c r="H483" s="779"/>
      <c r="I483" s="779"/>
      <c r="J483" s="779"/>
      <c r="K483" s="779"/>
      <c r="L483" s="779"/>
      <c r="M483" s="779"/>
      <c r="N483" s="779"/>
      <c r="O483" s="779"/>
      <c r="P483" s="779"/>
      <c r="Q483" s="779"/>
      <c r="R483" s="779"/>
      <c r="S483" s="779"/>
      <c r="T483" s="780"/>
      <c r="U483" s="2">
        <f>SUM(U478:U482)</f>
        <v>0</v>
      </c>
      <c r="V483" s="418">
        <f>SUM(V478:V482)</f>
        <v>55</v>
      </c>
      <c r="W483" s="82"/>
      <c r="X483" s="724"/>
      <c r="Y483" s="699"/>
      <c r="Z483" s="697"/>
      <c r="AA483" s="698"/>
    </row>
    <row r="484" spans="1:27" ht="21" customHeight="1" thickBot="1" x14ac:dyDescent="0.25">
      <c r="A484" s="411"/>
      <c r="B484" s="262"/>
      <c r="C484" s="380"/>
      <c r="D484" s="945"/>
      <c r="E484" s="741"/>
      <c r="F484" s="996">
        <v>0</v>
      </c>
      <c r="G484" s="746"/>
      <c r="H484" s="746"/>
      <c r="I484" s="746"/>
      <c r="J484" s="746"/>
      <c r="K484" s="746"/>
      <c r="L484" s="746"/>
      <c r="M484" s="746"/>
      <c r="N484" s="746"/>
      <c r="O484" s="746"/>
      <c r="P484" s="746"/>
      <c r="Q484" s="746"/>
      <c r="R484" s="746"/>
      <c r="S484" s="746"/>
      <c r="T484" s="746"/>
      <c r="U484" s="746"/>
      <c r="V484" s="747"/>
      <c r="W484" s="82"/>
      <c r="X484" s="722"/>
      <c r="Y484" s="699"/>
      <c r="Z484" s="697"/>
      <c r="AA484" s="698"/>
    </row>
    <row r="485" spans="1:27" ht="30" customHeight="1" thickBot="1" x14ac:dyDescent="0.25">
      <c r="A485" s="408"/>
      <c r="B485" s="316" t="s">
        <v>0</v>
      </c>
      <c r="C485" s="157" t="s">
        <v>1</v>
      </c>
      <c r="D485" s="550"/>
      <c r="E485" s="549"/>
      <c r="F485" s="379" t="s">
        <v>661</v>
      </c>
      <c r="G485" s="99"/>
      <c r="H485" s="550" t="s">
        <v>661</v>
      </c>
      <c r="I485" s="549"/>
      <c r="J485" s="249" t="s">
        <v>661</v>
      </c>
      <c r="K485" s="99"/>
      <c r="L485" s="550" t="s">
        <v>661</v>
      </c>
      <c r="M485" s="255"/>
      <c r="N485" s="550" t="s">
        <v>661</v>
      </c>
      <c r="O485" s="249"/>
      <c r="P485" s="550"/>
      <c r="Q485" s="249"/>
      <c r="R485" s="550"/>
      <c r="S485" s="249"/>
      <c r="T485" s="557"/>
      <c r="U485" s="558"/>
      <c r="V485" s="558"/>
      <c r="W485" s="82"/>
      <c r="X485" s="722"/>
      <c r="Y485" s="699"/>
      <c r="Z485" s="697"/>
      <c r="AA485" s="698"/>
    </row>
    <row r="486" spans="1:27" ht="27.95" customHeight="1" x14ac:dyDescent="0.2">
      <c r="A486" s="421"/>
      <c r="B486" s="319" t="s">
        <v>880</v>
      </c>
      <c r="C486" s="563" t="s">
        <v>1377</v>
      </c>
      <c r="D486" s="742"/>
      <c r="E486" s="743"/>
      <c r="F486" s="742"/>
      <c r="G486" s="743"/>
      <c r="H486" s="742"/>
      <c r="I486" s="743"/>
      <c r="J486" s="742"/>
      <c r="K486" s="743"/>
      <c r="L486" s="742"/>
      <c r="M486" s="743"/>
      <c r="N486" s="742"/>
      <c r="O486" s="743"/>
      <c r="P486" s="742"/>
      <c r="Q486" s="743"/>
      <c r="R486" s="742"/>
      <c r="S486" s="743"/>
      <c r="T486" s="69"/>
      <c r="U486" s="67">
        <f>IF(OR(D486="s",F486="s",H486="s",J486="s",L486="s",N486="s",P486="s",R486="s"), 0, IF(OR(D486="a",F486="a",H486="a",J486="a",L486="a",N486="a",P486="a",R486="a"),V486,0))</f>
        <v>0</v>
      </c>
      <c r="V486" s="417">
        <v>10</v>
      </c>
      <c r="W486" s="82">
        <f>COUNTIF(D486:S486,"a")+COUNTIF(D486:S486,"s")</f>
        <v>0</v>
      </c>
      <c r="X486" s="720"/>
      <c r="Y486" s="699"/>
      <c r="Z486" s="697" t="s">
        <v>656</v>
      </c>
      <c r="AA486" s="698"/>
    </row>
    <row r="487" spans="1:27" ht="27.95" customHeight="1" thickBot="1" x14ac:dyDescent="0.25">
      <c r="A487" s="421"/>
      <c r="B487" s="325" t="s">
        <v>881</v>
      </c>
      <c r="C487" s="563" t="s">
        <v>1378</v>
      </c>
      <c r="D487" s="742"/>
      <c r="E487" s="743"/>
      <c r="F487" s="742"/>
      <c r="G487" s="743"/>
      <c r="H487" s="742"/>
      <c r="I487" s="743"/>
      <c r="J487" s="742"/>
      <c r="K487" s="743"/>
      <c r="L487" s="742"/>
      <c r="M487" s="743"/>
      <c r="N487" s="742"/>
      <c r="O487" s="743"/>
      <c r="P487" s="742"/>
      <c r="Q487" s="743"/>
      <c r="R487" s="742"/>
      <c r="S487" s="743"/>
      <c r="T487" s="69"/>
      <c r="U487" s="67">
        <f>IF(OR(D487="s",F487="s",H487="s",J487="s",L487="s",N487="s",P487="s",R487="s"), 0, IF(OR(D487="a",F487="a",H487="a",J487="a",L487="a",N487="a",P487="a",R487="a"),V487,0))</f>
        <v>0</v>
      </c>
      <c r="V487" s="417">
        <v>5</v>
      </c>
      <c r="W487" s="82">
        <f>COUNTIF(D487:S487,"a")+COUNTIF(D487:S487,"s")</f>
        <v>0</v>
      </c>
      <c r="X487" s="720"/>
      <c r="Y487" s="699"/>
      <c r="Z487" s="697" t="s">
        <v>656</v>
      </c>
      <c r="AA487" s="698"/>
    </row>
    <row r="488" spans="1:27" ht="21" customHeight="1" thickTop="1" thickBot="1" x14ac:dyDescent="0.25">
      <c r="A488" s="421"/>
      <c r="B488" s="12"/>
      <c r="C488" s="179"/>
      <c r="D488" s="750" t="s">
        <v>662</v>
      </c>
      <c r="E488" s="779"/>
      <c r="F488" s="779"/>
      <c r="G488" s="779"/>
      <c r="H488" s="779"/>
      <c r="I488" s="779"/>
      <c r="J488" s="779"/>
      <c r="K488" s="779"/>
      <c r="L488" s="779"/>
      <c r="M488" s="779"/>
      <c r="N488" s="779"/>
      <c r="O488" s="779"/>
      <c r="P488" s="779"/>
      <c r="Q488" s="779"/>
      <c r="R488" s="779"/>
      <c r="S488" s="779"/>
      <c r="T488" s="780"/>
      <c r="U488" s="2">
        <f>SUM(U486:U487)</f>
        <v>0</v>
      </c>
      <c r="V488" s="418">
        <f>SUM(V486:V487)</f>
        <v>15</v>
      </c>
      <c r="W488" s="82"/>
      <c r="X488" s="724"/>
      <c r="Y488" s="699"/>
      <c r="Z488" s="697"/>
      <c r="AA488" s="698"/>
    </row>
    <row r="489" spans="1:27" ht="21" customHeight="1" thickBot="1" x14ac:dyDescent="0.25">
      <c r="A489" s="411"/>
      <c r="B489" s="262"/>
      <c r="C489" s="380"/>
      <c r="D489" s="945"/>
      <c r="E489" s="741"/>
      <c r="F489" s="803">
        <v>15</v>
      </c>
      <c r="G489" s="804"/>
      <c r="H489" s="804"/>
      <c r="I489" s="804"/>
      <c r="J489" s="804"/>
      <c r="K489" s="804"/>
      <c r="L489" s="804"/>
      <c r="M489" s="804"/>
      <c r="N489" s="804"/>
      <c r="O489" s="804"/>
      <c r="P489" s="804"/>
      <c r="Q489" s="804"/>
      <c r="R489" s="804"/>
      <c r="S489" s="804"/>
      <c r="T489" s="804"/>
      <c r="U489" s="804"/>
      <c r="V489" s="805"/>
      <c r="W489" s="82"/>
      <c r="X489" s="722"/>
      <c r="Y489" s="699"/>
      <c r="Z489" s="697"/>
      <c r="AA489" s="698"/>
    </row>
    <row r="490" spans="1:27" ht="30" customHeight="1" thickBot="1" x14ac:dyDescent="0.25">
      <c r="A490" s="408"/>
      <c r="B490" s="316" t="s">
        <v>882</v>
      </c>
      <c r="C490" s="157" t="s">
        <v>883</v>
      </c>
      <c r="D490" s="550"/>
      <c r="E490" s="549"/>
      <c r="F490" s="379" t="s">
        <v>661</v>
      </c>
      <c r="G490" s="99"/>
      <c r="H490" s="550" t="s">
        <v>661</v>
      </c>
      <c r="I490" s="549"/>
      <c r="J490" s="249" t="s">
        <v>661</v>
      </c>
      <c r="K490" s="99"/>
      <c r="L490" s="550" t="s">
        <v>661</v>
      </c>
      <c r="M490" s="255"/>
      <c r="N490" s="550" t="s">
        <v>661</v>
      </c>
      <c r="O490" s="256"/>
      <c r="P490" s="257"/>
      <c r="Q490" s="255"/>
      <c r="R490" s="258"/>
      <c r="S490" s="256"/>
      <c r="T490" s="390"/>
      <c r="U490" s="266"/>
      <c r="V490" s="428"/>
      <c r="W490" s="82"/>
      <c r="Z490" s="697"/>
      <c r="AA490" s="698"/>
    </row>
    <row r="491" spans="1:27" s="705" customFormat="1" ht="30" customHeight="1" x14ac:dyDescent="0.2">
      <c r="A491" s="421"/>
      <c r="B491" s="319"/>
      <c r="C491" s="403" t="s">
        <v>1379</v>
      </c>
      <c r="D491" s="857"/>
      <c r="E491" s="866"/>
      <c r="F491" s="866"/>
      <c r="G491" s="866"/>
      <c r="H491" s="866"/>
      <c r="I491" s="866"/>
      <c r="J491" s="866"/>
      <c r="K491" s="866"/>
      <c r="L491" s="866"/>
      <c r="M491" s="866"/>
      <c r="N491" s="866"/>
      <c r="O491" s="866"/>
      <c r="P491" s="866"/>
      <c r="Q491" s="866"/>
      <c r="R491" s="866"/>
      <c r="S491" s="866"/>
      <c r="T491" s="866"/>
      <c r="U491" s="866"/>
      <c r="V491" s="867"/>
      <c r="W491" s="82"/>
      <c r="X491" s="718"/>
      <c r="Y491" s="696"/>
      <c r="Z491" s="697"/>
      <c r="AA491" s="698"/>
    </row>
    <row r="492" spans="1:27" ht="45" customHeight="1" x14ac:dyDescent="0.2">
      <c r="A492" s="421"/>
      <c r="B492" s="319" t="s">
        <v>884</v>
      </c>
      <c r="C492" s="281" t="s">
        <v>1380</v>
      </c>
      <c r="D492" s="742"/>
      <c r="E492" s="743"/>
      <c r="F492" s="742"/>
      <c r="G492" s="743"/>
      <c r="H492" s="742"/>
      <c r="I492" s="743"/>
      <c r="J492" s="742"/>
      <c r="K492" s="743"/>
      <c r="L492" s="742"/>
      <c r="M492" s="743"/>
      <c r="N492" s="742"/>
      <c r="O492" s="743"/>
      <c r="P492" s="742"/>
      <c r="Q492" s="743"/>
      <c r="R492" s="742"/>
      <c r="S492" s="743"/>
      <c r="T492" s="72"/>
      <c r="U492" s="67">
        <f>IF(OR(D492="s",F492="s",H492="s",J492="s",L492="s",N492="s",P492="s",R492="s"), 0, IF(OR(D492="a",F492="a",H492="a",J492="a",L492="a",N492="a",P492="a",R492="a"),V492,0))</f>
        <v>0</v>
      </c>
      <c r="V492" s="417">
        <f>IF(AND(T492="na",OR(D510="a",F510="a",H510="a",J510="a",L510="a",N510="a",P510="a",R510="a")),5,IF(T492="na",0,5))</f>
        <v>5</v>
      </c>
      <c r="W492" s="82">
        <f>IF((COUNTIF(D492:S492,"a")+COUNTIF(D492:S492,"s")+COUNTIF(T492,"na"))&gt;0,IF((COUNTIF(D510:S510,"a")+COUNTIF(D510:S510,"s")),0,COUNTIF(D492:S492,"a")+COUNTIF(D492:S492,"s")+COUNTIF(T492:T492,"na")),COUNTIF(D492:S492,"a")+COUNTIF(D492:S492,"s")+COUNTIF(T492,"na"))</f>
        <v>0</v>
      </c>
      <c r="X492" s="717"/>
      <c r="Z492" s="697" t="s">
        <v>656</v>
      </c>
      <c r="AA492" s="698"/>
    </row>
    <row r="493" spans="1:27" ht="45" customHeight="1" x14ac:dyDescent="0.2">
      <c r="A493" s="421"/>
      <c r="B493" s="319" t="s">
        <v>1373</v>
      </c>
      <c r="C493" s="281" t="s">
        <v>1515</v>
      </c>
      <c r="D493" s="742"/>
      <c r="E493" s="743"/>
      <c r="F493" s="742"/>
      <c r="G493" s="743"/>
      <c r="H493" s="742"/>
      <c r="I493" s="743"/>
      <c r="J493" s="742"/>
      <c r="K493" s="743"/>
      <c r="L493" s="742"/>
      <c r="M493" s="743"/>
      <c r="N493" s="742"/>
      <c r="O493" s="743"/>
      <c r="P493" s="742"/>
      <c r="Q493" s="743"/>
      <c r="R493" s="742"/>
      <c r="S493" s="743"/>
      <c r="T493" s="410" t="str">
        <f>IF(T492="na","na","")</f>
        <v/>
      </c>
      <c r="U493" s="67">
        <f>IF(OR(D493="s",F493="s",H493="s",J493="s",L493="s",N493="s",P493="s",R493="s"), 0, IF(OR(D493="a",F493="a",H493="a",J493="a",L493="a",N493="a",P493="a",R493="a"),V493,0))</f>
        <v>0</v>
      </c>
      <c r="V493" s="417">
        <f>IF(AND(T493="na",OR(D510="a",F510="a",H510="a",J510="a",L510="a",N510="a",P510="a",R510="a")),5,IF(T493="na",0,5))</f>
        <v>5</v>
      </c>
      <c r="W493" s="82">
        <f>IF((COUNTIF(D493:S493,"a")+COUNTIF(D493:S493,"s")+COUNTIF(T493,"na"))&gt;0,IF((COUNTIF(D510:S510,"a")+COUNTIF(D510:S510,"s")),0,COUNTIF(D493:S493,"a")+COUNTIF(D493:S493,"s")+COUNTIF(T493:T493,"na")),COUNTIF(D493:S493,"a")+COUNTIF(D493:S493,"s")+COUNTIF(T493,"na"))</f>
        <v>0</v>
      </c>
      <c r="X493" s="717"/>
      <c r="Z493" s="697"/>
      <c r="AA493" s="698"/>
    </row>
    <row r="494" spans="1:27" s="705" customFormat="1" ht="30" customHeight="1" x14ac:dyDescent="0.2">
      <c r="A494" s="421"/>
      <c r="B494" s="319"/>
      <c r="C494" s="404" t="s">
        <v>1374</v>
      </c>
      <c r="D494" s="783"/>
      <c r="E494" s="783"/>
      <c r="F494" s="783"/>
      <c r="G494" s="783"/>
      <c r="H494" s="783"/>
      <c r="I494" s="783"/>
      <c r="J494" s="783"/>
      <c r="K494" s="783"/>
      <c r="L494" s="783"/>
      <c r="M494" s="783"/>
      <c r="N494" s="783"/>
      <c r="O494" s="783"/>
      <c r="P494" s="783"/>
      <c r="Q494" s="783"/>
      <c r="R494" s="783"/>
      <c r="S494" s="783"/>
      <c r="T494" s="783"/>
      <c r="U494" s="783"/>
      <c r="V494" s="784"/>
      <c r="W494" s="82"/>
      <c r="X494" s="718"/>
      <c r="Y494" s="696"/>
      <c r="Z494" s="696"/>
      <c r="AA494" s="698"/>
    </row>
    <row r="495" spans="1:27" ht="27.95" customHeight="1" x14ac:dyDescent="0.2">
      <c r="A495" s="421"/>
      <c r="B495" s="319" t="s">
        <v>288</v>
      </c>
      <c r="C495" s="279" t="s">
        <v>289</v>
      </c>
      <c r="D495" s="744"/>
      <c r="E495" s="745"/>
      <c r="F495" s="744"/>
      <c r="G495" s="745"/>
      <c r="H495" s="744"/>
      <c r="I495" s="745"/>
      <c r="J495" s="744"/>
      <c r="K495" s="745"/>
      <c r="L495" s="744"/>
      <c r="M495" s="745"/>
      <c r="N495" s="744"/>
      <c r="O495" s="745"/>
      <c r="P495" s="744"/>
      <c r="Q495" s="745"/>
      <c r="R495" s="744"/>
      <c r="S495" s="745"/>
      <c r="T495" s="112"/>
      <c r="U495" s="71">
        <f>IF(OR(D495="s",F495="s",H495="s",J495="s",L495="s",N495="s",P495="s",R495="s"), 0, IF(OR(D495="a",F495="a",H495="a",J495="a",L495="a",N495="a",P495="a",R495="a"),V495,0))</f>
        <v>0</v>
      </c>
      <c r="V495" s="420">
        <f>IF(AND(T495="na",OR(D510="a",F510="a",H510="a",J510="a",L510="a",N510="a",P510="a",R510="a")),5,IF(T495="na",0,5))</f>
        <v>5</v>
      </c>
      <c r="W495" s="82">
        <f>IF((COUNTIF(D495:S495,"a")+COUNTIF(D495:S495,"s")+COUNTIF(T495,"na"))&gt;0,IF((COUNTIF(D510:S510,"a")+COUNTIF(D510:S510,"s")),0,COUNTIF(D495:S495,"a")+COUNTIF(D495:S495,"s")+COUNTIF(T495:T495,"na")),COUNTIF(D495:S495,"a")+COUNTIF(D495:S495,"s")+COUNTIF(T495,"na"))</f>
        <v>0</v>
      </c>
      <c r="X495" s="717"/>
      <c r="Z495" s="697"/>
      <c r="AA495" s="698"/>
    </row>
    <row r="496" spans="1:27" ht="45" customHeight="1" x14ac:dyDescent="0.2">
      <c r="A496" s="421"/>
      <c r="B496" s="319" t="s">
        <v>1381</v>
      </c>
      <c r="C496" s="281" t="s">
        <v>1382</v>
      </c>
      <c r="D496" s="764"/>
      <c r="E496" s="765"/>
      <c r="F496" s="764"/>
      <c r="G496" s="765"/>
      <c r="H496" s="764"/>
      <c r="I496" s="765"/>
      <c r="J496" s="764"/>
      <c r="K496" s="765"/>
      <c r="L496" s="764"/>
      <c r="M496" s="765"/>
      <c r="N496" s="764"/>
      <c r="O496" s="765"/>
      <c r="P496" s="764"/>
      <c r="Q496" s="765"/>
      <c r="R496" s="764"/>
      <c r="S496" s="765"/>
      <c r="T496" s="113" t="str">
        <f>IF(T495="na","na","")</f>
        <v/>
      </c>
      <c r="U496" s="67">
        <f>IF(OR(D496="s",F496="s",H496="s",J496="s",L496="s",N496="s",P496="s",R496="s"), 0, IF(OR(D496="a",F496="a",H496="a",J496="a",L496="a",N496="a",P496="a",R496="a"),V496,0))</f>
        <v>0</v>
      </c>
      <c r="V496" s="422">
        <f>IF(AND(T496="na",OR(D510="a",F510="a",H510="a",J510="a",L510="a",N510="a",P510="a",R510="a")),10,IF(T496="na",0,10))</f>
        <v>10</v>
      </c>
      <c r="W496" s="82">
        <f>IF((COUNTIF(D496:S496,"a")+COUNTIF(D496:S496,"s")+COUNTIF(T496,"na"))&gt;0,IF((COUNTIF(D510:S510,"a")+COUNTIF(D510:S510,"s")),0,COUNTIF(D496:S496,"a")+COUNTIF(D496:S496,"s")+COUNTIF(T496:T496,"na")),COUNTIF(D496:S496,"a")+COUNTIF(D496:S496,"s")+COUNTIF(T496,"na"))</f>
        <v>0</v>
      </c>
      <c r="X496" s="717"/>
      <c r="Z496" s="697"/>
      <c r="AA496" s="698"/>
    </row>
    <row r="497" spans="1:27" ht="45" customHeight="1" x14ac:dyDescent="0.2">
      <c r="A497" s="421"/>
      <c r="B497" s="319" t="s">
        <v>290</v>
      </c>
      <c r="C497" s="281" t="s">
        <v>1383</v>
      </c>
      <c r="D497" s="764"/>
      <c r="E497" s="765"/>
      <c r="F497" s="764"/>
      <c r="G497" s="765"/>
      <c r="H497" s="764"/>
      <c r="I497" s="765"/>
      <c r="J497" s="764"/>
      <c r="K497" s="765"/>
      <c r="L497" s="764"/>
      <c r="M497" s="765"/>
      <c r="N497" s="764"/>
      <c r="O497" s="765"/>
      <c r="P497" s="764"/>
      <c r="Q497" s="765"/>
      <c r="R497" s="764"/>
      <c r="S497" s="765"/>
      <c r="T497" s="113" t="str">
        <f>IF(T495="na","na","")</f>
        <v/>
      </c>
      <c r="U497" s="67">
        <f>IF(OR(D497="s",F497="s",H497="s",J497="s",L497="s",N497="s",P497="s",R497="s"), 0, IF(OR(D497="a",F497="a",H497="a",J497="a",L497="a",N497="a",P497="a",R497="a"),V497,0))</f>
        <v>0</v>
      </c>
      <c r="V497" s="422">
        <f>IF(AND(T497="na",OR(D510="a",F510="a",H510="a",J510="a",L510="a",N510="a",P510="a",R510="a")),5,IF(T497="na",0,5))</f>
        <v>5</v>
      </c>
      <c r="W497" s="82">
        <f>IF((COUNTIF(D497:S497,"a")+COUNTIF(D497:S497,"s")+COUNTIF(T497,"na"))&gt;0,IF((COUNTIF(D510:S510,"a")+COUNTIF(D510:S510,"s")),0,COUNTIF(D497:S497,"a")+COUNTIF(D497:S497,"s")+COUNTIF(T497:T497,"na")),COUNTIF(D497:S497,"a")+COUNTIF(D497:S497,"s")+COUNTIF(T497,"na"))</f>
        <v>0</v>
      </c>
      <c r="X497" s="717"/>
      <c r="Z497" s="697"/>
      <c r="AA497" s="698"/>
    </row>
    <row r="498" spans="1:27" ht="27.95" customHeight="1" x14ac:dyDescent="0.2">
      <c r="A498" s="421"/>
      <c r="B498" s="319" t="s">
        <v>885</v>
      </c>
      <c r="C498" s="281" t="s">
        <v>291</v>
      </c>
      <c r="D498" s="742"/>
      <c r="E498" s="743"/>
      <c r="F498" s="742"/>
      <c r="G498" s="743"/>
      <c r="H498" s="742"/>
      <c r="I498" s="743"/>
      <c r="J498" s="742"/>
      <c r="K498" s="743"/>
      <c r="L498" s="742"/>
      <c r="M498" s="743"/>
      <c r="N498" s="742"/>
      <c r="O498" s="743"/>
      <c r="P498" s="742"/>
      <c r="Q498" s="743"/>
      <c r="R498" s="742"/>
      <c r="S498" s="743"/>
      <c r="T498" s="113" t="str">
        <f>IF(T495="na","na","")</f>
        <v/>
      </c>
      <c r="U498" s="67">
        <f>IF(OR(D498="s",F498="s",H498="s",J498="s",L498="s",N498="s",P498="s",R498="s"), 0, IF(OR(D498="a",F498="a",H498="a",J498="a",L498="a",N498="a",P498="a",R498="a"),V498,0))</f>
        <v>0</v>
      </c>
      <c r="V498" s="417">
        <f>IF(AND(T498="na",OR(D510="a",F510="a",H510="a",J510="a",L510="a",N510="a",P510="a",R510="a")),5,IF(T498="na",0,5))</f>
        <v>5</v>
      </c>
      <c r="W498" s="82">
        <f>IF((COUNTIF(D498:S498,"a")+COUNTIF(D498:S498,"s")+COUNTIF(T498,"na"))&gt;0,IF((COUNTIF(D510:S510,"a")+COUNTIF(D510:S510,"s")),0,COUNTIF(D498:S498,"a")+COUNTIF(D498:S498,"s")+COUNTIF(T498:T498,"na")),COUNTIF(D498:S498,"a")+COUNTIF(D498:S498,"s")+COUNTIF(T498,"na"))</f>
        <v>0</v>
      </c>
      <c r="X498" s="717"/>
      <c r="Z498" s="697" t="s">
        <v>656</v>
      </c>
      <c r="AA498" s="698"/>
    </row>
    <row r="499" spans="1:27" s="705" customFormat="1" ht="30" customHeight="1" x14ac:dyDescent="0.2">
      <c r="A499" s="421"/>
      <c r="B499" s="319"/>
      <c r="C499" s="404" t="s">
        <v>1375</v>
      </c>
      <c r="D499" s="783"/>
      <c r="E499" s="783"/>
      <c r="F499" s="783"/>
      <c r="G499" s="783"/>
      <c r="H499" s="783"/>
      <c r="I499" s="783"/>
      <c r="J499" s="783"/>
      <c r="K499" s="783"/>
      <c r="L499" s="783"/>
      <c r="M499" s="783"/>
      <c r="N499" s="783"/>
      <c r="O499" s="783"/>
      <c r="P499" s="783"/>
      <c r="Q499" s="783"/>
      <c r="R499" s="783"/>
      <c r="S499" s="783"/>
      <c r="T499" s="783"/>
      <c r="U499" s="783"/>
      <c r="V499" s="784"/>
      <c r="W499" s="82"/>
      <c r="X499" s="718"/>
      <c r="Y499" s="696"/>
      <c r="Z499" s="696"/>
      <c r="AA499" s="698"/>
    </row>
    <row r="500" spans="1:27" ht="45" customHeight="1" x14ac:dyDescent="0.2">
      <c r="A500" s="421"/>
      <c r="B500" s="319" t="s">
        <v>292</v>
      </c>
      <c r="C500" s="281" t="s">
        <v>293</v>
      </c>
      <c r="D500" s="764"/>
      <c r="E500" s="765"/>
      <c r="F500" s="764"/>
      <c r="G500" s="765"/>
      <c r="H500" s="764"/>
      <c r="I500" s="765"/>
      <c r="J500" s="764"/>
      <c r="K500" s="765"/>
      <c r="L500" s="764"/>
      <c r="M500" s="765"/>
      <c r="N500" s="764"/>
      <c r="O500" s="765"/>
      <c r="P500" s="764"/>
      <c r="Q500" s="765"/>
      <c r="R500" s="764"/>
      <c r="S500" s="765"/>
      <c r="T500" s="81"/>
      <c r="U500" s="67">
        <f>IF(OR(D500="s",F500="s",H500="s",J500="s",L500="s",N500="s",P500="s",R500="s"), 0, IF(OR(D500="a",F500="a",H500="a",J500="a",L500="a",N500="a",P500="a",R500="a"),V500,0))</f>
        <v>0</v>
      </c>
      <c r="V500" s="422">
        <v>5</v>
      </c>
      <c r="W500" s="82">
        <f>IF((COUNTIF(D500:S500,"a")+COUNTIF(D500:S500,"s"))&gt;0,IF((COUNTIF(D510:S510,"a")+COUNTIF(D510:S510,"s")),0,COUNTIF(D500:S500,"a")+COUNTIF(D500:S500,"s")),COUNTIF(D500:S500,"a")+COUNTIF(D500:S500,"s"))</f>
        <v>0</v>
      </c>
      <c r="X500" s="717"/>
      <c r="Z500" s="697"/>
      <c r="AA500" s="698"/>
    </row>
    <row r="501" spans="1:27" ht="45" customHeight="1" x14ac:dyDescent="0.2">
      <c r="A501" s="421"/>
      <c r="B501" s="319" t="s">
        <v>679</v>
      </c>
      <c r="C501" s="281" t="s">
        <v>1384</v>
      </c>
      <c r="D501" s="742"/>
      <c r="E501" s="743"/>
      <c r="F501" s="742"/>
      <c r="G501" s="743"/>
      <c r="H501" s="742"/>
      <c r="I501" s="743"/>
      <c r="J501" s="742"/>
      <c r="K501" s="743"/>
      <c r="L501" s="742"/>
      <c r="M501" s="743"/>
      <c r="N501" s="742"/>
      <c r="O501" s="743"/>
      <c r="P501" s="742"/>
      <c r="Q501" s="743"/>
      <c r="R501" s="742"/>
      <c r="S501" s="743"/>
      <c r="T501" s="76"/>
      <c r="U501" s="67">
        <f>IF(OR(D501="s",F501="s",H501="s",J501="s",L501="s",N501="s",P501="s",R501="s"), 0, IF(OR(D501="a",F501="a",H501="a",J501="a",L501="a",N501="a",P501="a",R501="a"),V501,0))</f>
        <v>0</v>
      </c>
      <c r="V501" s="417">
        <v>5</v>
      </c>
      <c r="W501" s="82">
        <f>IF((COUNTIF(D501:S501,"a")+COUNTIF(D501:S501,"s"))&gt;0,IF((COUNTIF(D510:S510,"a")+COUNTIF(D510:S510,"s")),0,COUNTIF(D501:S501,"a")+COUNTIF(D501:S501,"s")),COUNTIF(D501:S501,"a")+COUNTIF(D501:S501,"s"))</f>
        <v>0</v>
      </c>
      <c r="X501" s="717"/>
      <c r="Z501" s="697"/>
      <c r="AA501" s="698"/>
    </row>
    <row r="502" spans="1:27" s="705" customFormat="1" ht="30" customHeight="1" x14ac:dyDescent="0.2">
      <c r="A502" s="421"/>
      <c r="B502" s="319"/>
      <c r="C502" s="404" t="s">
        <v>1376</v>
      </c>
      <c r="D502" s="783"/>
      <c r="E502" s="783"/>
      <c r="F502" s="783"/>
      <c r="G502" s="783"/>
      <c r="H502" s="783"/>
      <c r="I502" s="783"/>
      <c r="J502" s="783"/>
      <c r="K502" s="783"/>
      <c r="L502" s="783"/>
      <c r="M502" s="783"/>
      <c r="N502" s="783"/>
      <c r="O502" s="783"/>
      <c r="P502" s="783"/>
      <c r="Q502" s="783"/>
      <c r="R502" s="783"/>
      <c r="S502" s="783"/>
      <c r="T502" s="783"/>
      <c r="U502" s="783"/>
      <c r="V502" s="784"/>
      <c r="W502" s="82"/>
      <c r="X502" s="718"/>
      <c r="Y502" s="696"/>
      <c r="Z502" s="696"/>
      <c r="AA502" s="698"/>
    </row>
    <row r="503" spans="1:27" ht="67.7" customHeight="1" x14ac:dyDescent="0.2">
      <c r="A503" s="421"/>
      <c r="B503" s="319" t="s">
        <v>1104</v>
      </c>
      <c r="C503" s="281" t="s">
        <v>1385</v>
      </c>
      <c r="D503" s="742"/>
      <c r="E503" s="743"/>
      <c r="F503" s="742"/>
      <c r="G503" s="743"/>
      <c r="H503" s="742"/>
      <c r="I503" s="743"/>
      <c r="J503" s="742"/>
      <c r="K503" s="743"/>
      <c r="L503" s="742"/>
      <c r="M503" s="743"/>
      <c r="N503" s="742"/>
      <c r="O503" s="743"/>
      <c r="P503" s="742"/>
      <c r="Q503" s="743"/>
      <c r="R503" s="742"/>
      <c r="S503" s="743"/>
      <c r="T503" s="568" t="str">
        <f>IF('NOx Data Sheet'!G6&gt;DATE(2004,12,31),"na","")</f>
        <v/>
      </c>
      <c r="U503" s="67">
        <f t="shared" ref="U503:U507" si="68">IF(OR(D503="s",F503="s",H503="s",J503="s",L503="s",N503="s",P503="s",R503="s"), 0, IF(OR(D503="a",F503="a",H503="a",J503="a",L503="a",N503="a",P503="a",R503="a"),V503,0))</f>
        <v>0</v>
      </c>
      <c r="V503" s="417">
        <f>IF(AND(T503="na",OR(D510="a",F510="a",H510="a",J510="a",L510="a",N510="a",P510="a",R510="a")),5,IF(T503="na",0,5))</f>
        <v>5</v>
      </c>
      <c r="W503" s="82">
        <f>IF((COUNTIF(D503:S503,"a")+COUNTIF(D503:S503,"s")+COUNTIF(T503,"na"))&gt;0,IF((COUNTIF(D510:S510,"a")+COUNTIF(D510:S510,"s")),0,COUNTIF(D503:S503,"a")+COUNTIF(D503:S503,"s")+COUNTIF(T503:T503,"na")),COUNTIF(D503:S503,"a")+COUNTIF(D503:S503,"s")+COUNTIF(T503,"na"))</f>
        <v>0</v>
      </c>
      <c r="X503" s="717"/>
      <c r="Z503" s="697" t="s">
        <v>656</v>
      </c>
      <c r="AA503" s="698"/>
    </row>
    <row r="504" spans="1:27" ht="67.7" customHeight="1" x14ac:dyDescent="0.2">
      <c r="A504" s="421"/>
      <c r="B504" s="319" t="s">
        <v>1105</v>
      </c>
      <c r="C504" s="281" t="s">
        <v>1386</v>
      </c>
      <c r="D504" s="742"/>
      <c r="E504" s="743"/>
      <c r="F504" s="742"/>
      <c r="G504" s="743"/>
      <c r="H504" s="742"/>
      <c r="I504" s="743"/>
      <c r="J504" s="742"/>
      <c r="K504" s="743"/>
      <c r="L504" s="742"/>
      <c r="M504" s="743"/>
      <c r="N504" s="742"/>
      <c r="O504" s="743"/>
      <c r="P504" s="742"/>
      <c r="Q504" s="743"/>
      <c r="R504" s="742"/>
      <c r="S504" s="743"/>
      <c r="T504" s="76"/>
      <c r="U504" s="67">
        <f>IF(OR(D510="a",F510="a",H510="a",J510="a",L510="a",N510="a",P510="a",R510="a"), 0, IF(OR(D504="a",F504="a",H504="a",J504="a",L504="a",N504="a",P504="a",R504="a"),V504,0))</f>
        <v>0</v>
      </c>
      <c r="V504" s="417">
        <v>10</v>
      </c>
      <c r="W504" s="82">
        <f>IF((COUNTIF(D504:S504,"a")+COUNTIF(D504:S504,"s"))&gt;0,IF((COUNTIF(D510:S510,"a")+COUNTIF(D510:S510,"s")),1,COUNTIF(D504:S504,"a")+COUNTIF(D504:S504,"s")),COUNTIF(D504:S504,"a")+COUNTIF(D504:S504,"s"))</f>
        <v>0</v>
      </c>
      <c r="X504" s="717"/>
      <c r="Z504" s="697"/>
      <c r="AA504" s="698"/>
    </row>
    <row r="505" spans="1:27" ht="45" customHeight="1" x14ac:dyDescent="0.2">
      <c r="A505" s="421"/>
      <c r="B505" s="319" t="s">
        <v>254</v>
      </c>
      <c r="C505" s="281" t="s">
        <v>255</v>
      </c>
      <c r="D505" s="764"/>
      <c r="E505" s="765"/>
      <c r="F505" s="764"/>
      <c r="G505" s="765"/>
      <c r="H505" s="764"/>
      <c r="I505" s="765"/>
      <c r="J505" s="764"/>
      <c r="K505" s="765"/>
      <c r="L505" s="764"/>
      <c r="M505" s="765"/>
      <c r="N505" s="764"/>
      <c r="O505" s="765"/>
      <c r="P505" s="764"/>
      <c r="Q505" s="765"/>
      <c r="R505" s="764"/>
      <c r="S505" s="765"/>
      <c r="T505" s="76"/>
      <c r="U505" s="67">
        <f t="shared" si="68"/>
        <v>0</v>
      </c>
      <c r="V505" s="422">
        <v>5</v>
      </c>
      <c r="W505" s="82">
        <f>IF((COUNTIF(D505:S505,"a")+COUNTIF(D505:S505,"s"))&gt;0,IF((COUNTIF(D510:S510,"a")+COUNTIF(D510:S510,"s")+COUNTIF(D506:S506, "a")+COUNTIF(D506:S506, "S")),0,COUNTIF(D505:S505,"a")+COUNTIF(D505:S505,"s")),COUNTIF(D505:S505,"a")+COUNTIF(D505:S505,"s"))</f>
        <v>0</v>
      </c>
      <c r="X505" s="717"/>
      <c r="Z505" s="697"/>
      <c r="AA505" s="698"/>
    </row>
    <row r="506" spans="1:27" ht="67.7" customHeight="1" x14ac:dyDescent="0.2">
      <c r="A506" s="421"/>
      <c r="B506" s="545" t="s">
        <v>1387</v>
      </c>
      <c r="C506" s="564" t="s">
        <v>1388</v>
      </c>
      <c r="D506" s="764"/>
      <c r="E506" s="765"/>
      <c r="F506" s="764"/>
      <c r="G506" s="765"/>
      <c r="H506" s="764"/>
      <c r="I506" s="765"/>
      <c r="J506" s="764"/>
      <c r="K506" s="765"/>
      <c r="L506" s="764"/>
      <c r="M506" s="765"/>
      <c r="N506" s="764"/>
      <c r="O506" s="765"/>
      <c r="P506" s="764"/>
      <c r="Q506" s="765"/>
      <c r="R506" s="764"/>
      <c r="S506" s="765"/>
      <c r="T506" s="76"/>
      <c r="U506" s="579">
        <f t="shared" si="68"/>
        <v>0</v>
      </c>
      <c r="V506" s="422">
        <v>5</v>
      </c>
      <c r="W506" s="82">
        <f>IF((COUNTIF(D506:S506,"a")+COUNTIF(D506:S506,"s"))&gt;0,IF((COUNTIF(D510:S510,"a")+COUNTIF(D510:S510,"s")+COUNTIF(D505:S505, "a")+COUNTIF(D505:S505, "s")),0,COUNTIF(D506:S506,"a")+COUNTIF(D506:S506,"s")),COUNTIF(D506:S506,"a")+COUNTIF(D506:S506,"s"))</f>
        <v>0</v>
      </c>
      <c r="X506" s="717"/>
      <c r="Z506" s="697"/>
      <c r="AA506" s="698"/>
    </row>
    <row r="507" spans="1:27" ht="67.7" customHeight="1" x14ac:dyDescent="0.2">
      <c r="A507" s="421"/>
      <c r="B507" s="319" t="s">
        <v>1106</v>
      </c>
      <c r="C507" s="281" t="s">
        <v>1389</v>
      </c>
      <c r="D507" s="742"/>
      <c r="E507" s="743"/>
      <c r="F507" s="742"/>
      <c r="G507" s="743"/>
      <c r="H507" s="742"/>
      <c r="I507" s="743"/>
      <c r="J507" s="742"/>
      <c r="K507" s="743"/>
      <c r="L507" s="742"/>
      <c r="M507" s="743"/>
      <c r="N507" s="742"/>
      <c r="O507" s="743"/>
      <c r="P507" s="742"/>
      <c r="Q507" s="743"/>
      <c r="R507" s="742"/>
      <c r="S507" s="743"/>
      <c r="T507" s="568" t="str">
        <f>IF(T503="na","na","")</f>
        <v/>
      </c>
      <c r="U507" s="67">
        <f t="shared" si="68"/>
        <v>0</v>
      </c>
      <c r="V507" s="417">
        <f>IF(AND(T507="na",OR(D510="a",F510="a",H510="a",J510="a",L510="a",N510="a",P510="a",R510="a")),5,IF(T507="na",0,5))</f>
        <v>5</v>
      </c>
      <c r="W507" s="82">
        <f>IF((COUNTIF(D507:S507,"a")+COUNTIF(D507:S507,"s")+COUNTIF(T507,"na"))&gt;0,IF((COUNTIF(D510:S510,"a")+COUNTIF(D510:S510,"s")),0,COUNTIF(D507:S507,"a")+COUNTIF(D507:S507,"s")+COUNTIF(T507,"na")),COUNTIF(D507:S507,"a")+COUNTIF(D507:S507,"s")+COUNTIF(T507,"na"))</f>
        <v>0</v>
      </c>
      <c r="X507" s="717"/>
      <c r="Z507" s="697" t="s">
        <v>656</v>
      </c>
      <c r="AA507" s="698"/>
    </row>
    <row r="508" spans="1:27" ht="45" customHeight="1" x14ac:dyDescent="0.2">
      <c r="A508" s="421"/>
      <c r="B508" s="319" t="s">
        <v>1796</v>
      </c>
      <c r="C508" s="281" t="s">
        <v>1797</v>
      </c>
      <c r="D508" s="764"/>
      <c r="E508" s="765"/>
      <c r="F508" s="764"/>
      <c r="G508" s="765"/>
      <c r="H508" s="764"/>
      <c r="I508" s="765"/>
      <c r="J508" s="764"/>
      <c r="K508" s="765"/>
      <c r="L508" s="764"/>
      <c r="M508" s="765"/>
      <c r="N508" s="764"/>
      <c r="O508" s="765"/>
      <c r="P508" s="764"/>
      <c r="Q508" s="765"/>
      <c r="R508" s="764"/>
      <c r="S508" s="765"/>
      <c r="T508" s="76"/>
      <c r="U508" s="67">
        <f>IF(OR(D510="a",F510="a",H510="a",J510="a",L510="a",N510="a",P510="a",R510="a"), 0, IF(OR(D508="a",F508="a",H508="a",J508="a",L508="a",N508="a",P508="a",R508="a"),V508,0))</f>
        <v>0</v>
      </c>
      <c r="V508" s="422">
        <v>10</v>
      </c>
      <c r="W508" s="82">
        <f>IF((COUNTIF(D508:S508,"a")+COUNTIF(D508:S508,"s"))&gt;0,IF((COUNTIF(D510:S510,"a")+COUNTIF(D510:S510,"s")),1,COUNTIF(D508:S508,"a")+COUNTIF(D508:S508,"s")),COUNTIF(D508:S508,"a")+COUNTIF(D508:S508,"s"))</f>
        <v>0</v>
      </c>
      <c r="X508" s="717"/>
      <c r="Z508" s="697"/>
      <c r="AA508" s="698"/>
    </row>
    <row r="509" spans="1:27" s="705" customFormat="1" ht="30" customHeight="1" x14ac:dyDescent="0.2">
      <c r="A509" s="421"/>
      <c r="B509" s="319"/>
      <c r="C509" s="405" t="s">
        <v>1795</v>
      </c>
      <c r="D509" s="783"/>
      <c r="E509" s="783"/>
      <c r="F509" s="783"/>
      <c r="G509" s="783"/>
      <c r="H509" s="783"/>
      <c r="I509" s="783"/>
      <c r="J509" s="783"/>
      <c r="K509" s="783"/>
      <c r="L509" s="783"/>
      <c r="M509" s="783"/>
      <c r="N509" s="783"/>
      <c r="O509" s="783"/>
      <c r="P509" s="783"/>
      <c r="Q509" s="783"/>
      <c r="R509" s="783"/>
      <c r="S509" s="783"/>
      <c r="T509" s="783"/>
      <c r="U509" s="783"/>
      <c r="V509" s="784"/>
      <c r="W509" s="82"/>
      <c r="X509" s="718"/>
      <c r="Y509" s="696"/>
      <c r="Z509" s="697"/>
      <c r="AA509" s="698"/>
    </row>
    <row r="510" spans="1:27" ht="27.95" customHeight="1" thickBot="1" x14ac:dyDescent="0.25">
      <c r="A510" s="421"/>
      <c r="B510" s="320" t="s">
        <v>27</v>
      </c>
      <c r="C510" s="406" t="s">
        <v>256</v>
      </c>
      <c r="D510" s="764"/>
      <c r="E510" s="765"/>
      <c r="F510" s="764"/>
      <c r="G510" s="765"/>
      <c r="H510" s="764"/>
      <c r="I510" s="765"/>
      <c r="J510" s="764"/>
      <c r="K510" s="765"/>
      <c r="L510" s="764"/>
      <c r="M510" s="765"/>
      <c r="N510" s="764"/>
      <c r="O510" s="765"/>
      <c r="P510" s="764"/>
      <c r="Q510" s="765"/>
      <c r="R510" s="764"/>
      <c r="S510" s="765"/>
      <c r="T510" s="76"/>
      <c r="U510" s="109">
        <f>IF(OR(D510="s",F510="s",H510="s",J510="s",L510="s",N510="s",P510="s",R510="s"), 0, IF(OR(D510="a",F510="a",H510="a",J510="a",L510="a",N510="a",P510="a",R510="a"),V510,0))</f>
        <v>0</v>
      </c>
      <c r="V510" s="422">
        <v>80</v>
      </c>
      <c r="W510" s="82">
        <f>IF((COUNTIF(D510:S510,"a")+COUNTIF(D510:S510,"s"))&gt;0,IF(OR((COUNTIF(D492:S503,"a")+COUNTIF(D492:S503,"s")+COUNTIF(D505:S507,"a")+COUNTIF(D505:S507,"s"))),0,COUNTIF(D510:S510,"a")+COUNTIF(D510:S510,"s")),COUNTIF(D510:S510,"a")+COUNTIF(D510:S510,"s"))</f>
        <v>0</v>
      </c>
      <c r="X510" s="717"/>
      <c r="Z510" s="697"/>
      <c r="AA510" s="698"/>
    </row>
    <row r="511" spans="1:27" ht="21" customHeight="1" thickTop="1" thickBot="1" x14ac:dyDescent="0.25">
      <c r="A511" s="421"/>
      <c r="B511" s="80"/>
      <c r="C511" s="177"/>
      <c r="D511" s="750" t="s">
        <v>662</v>
      </c>
      <c r="E511" s="779"/>
      <c r="F511" s="779"/>
      <c r="G511" s="779"/>
      <c r="H511" s="779"/>
      <c r="I511" s="779"/>
      <c r="J511" s="779"/>
      <c r="K511" s="779"/>
      <c r="L511" s="779"/>
      <c r="M511" s="779"/>
      <c r="N511" s="779"/>
      <c r="O511" s="779"/>
      <c r="P511" s="779"/>
      <c r="Q511" s="779"/>
      <c r="R511" s="779"/>
      <c r="S511" s="779"/>
      <c r="T511" s="780"/>
      <c r="U511" s="2">
        <f>SUM(U491:U510)</f>
        <v>0</v>
      </c>
      <c r="V511" s="418">
        <f>SUM(V491:V505, V507:V508)</f>
        <v>80</v>
      </c>
      <c r="W511" s="82"/>
      <c r="X511" s="721"/>
      <c r="Z511" s="697"/>
      <c r="AA511" s="698"/>
    </row>
    <row r="512" spans="1:27" ht="21" customHeight="1" thickBot="1" x14ac:dyDescent="0.25">
      <c r="A512" s="411"/>
      <c r="B512" s="462"/>
      <c r="C512" s="268"/>
      <c r="D512" s="945"/>
      <c r="E512" s="741"/>
      <c r="F512" s="800">
        <f>IF(AND(T492="na",T498="na",T503="na"),0,IF(AND(T492="na",T498="na"),10,IF(AND(T492="na",T503="na"),5,IF(AND(T498="na",T503="na"),5,IF(T492="na",15, IF(T498="na",15, IF(T503="na",10,20)))))))</f>
        <v>20</v>
      </c>
      <c r="G512" s="801"/>
      <c r="H512" s="801"/>
      <c r="I512" s="801"/>
      <c r="J512" s="801"/>
      <c r="K512" s="801"/>
      <c r="L512" s="801"/>
      <c r="M512" s="801"/>
      <c r="N512" s="801"/>
      <c r="O512" s="801"/>
      <c r="P512" s="801"/>
      <c r="Q512" s="801"/>
      <c r="R512" s="801"/>
      <c r="S512" s="801"/>
      <c r="T512" s="801"/>
      <c r="U512" s="801"/>
      <c r="V512" s="802"/>
      <c r="W512" s="82"/>
      <c r="Z512" s="697"/>
      <c r="AA512" s="698"/>
    </row>
    <row r="513" spans="1:27" ht="30" customHeight="1" thickBot="1" x14ac:dyDescent="0.25">
      <c r="A513" s="408"/>
      <c r="B513" s="316" t="s">
        <v>28</v>
      </c>
      <c r="C513" s="157" t="s">
        <v>29</v>
      </c>
      <c r="D513" s="550"/>
      <c r="E513" s="549"/>
      <c r="F513" s="379" t="s">
        <v>661</v>
      </c>
      <c r="G513" s="99"/>
      <c r="H513" s="550" t="s">
        <v>661</v>
      </c>
      <c r="I513" s="549"/>
      <c r="J513" s="249" t="s">
        <v>661</v>
      </c>
      <c r="K513" s="99"/>
      <c r="L513" s="550" t="s">
        <v>661</v>
      </c>
      <c r="M513" s="255"/>
      <c r="N513" s="550" t="s">
        <v>661</v>
      </c>
      <c r="O513" s="256"/>
      <c r="P513" s="257"/>
      <c r="Q513" s="255"/>
      <c r="R513" s="258"/>
      <c r="S513" s="256"/>
      <c r="T513" s="390"/>
      <c r="U513" s="266"/>
      <c r="V513" s="428"/>
      <c r="W513" s="82"/>
      <c r="Z513" s="697"/>
      <c r="AA513" s="698"/>
    </row>
    <row r="514" spans="1:27" s="705" customFormat="1" ht="45" customHeight="1" x14ac:dyDescent="0.2">
      <c r="A514" s="421"/>
      <c r="B514" s="319" t="s">
        <v>30</v>
      </c>
      <c r="C514" s="281" t="s">
        <v>257</v>
      </c>
      <c r="D514" s="748"/>
      <c r="E514" s="749"/>
      <c r="F514" s="748"/>
      <c r="G514" s="749"/>
      <c r="H514" s="748"/>
      <c r="I514" s="749"/>
      <c r="J514" s="748"/>
      <c r="K514" s="749"/>
      <c r="L514" s="748"/>
      <c r="M514" s="749"/>
      <c r="N514" s="748"/>
      <c r="O514" s="749"/>
      <c r="P514" s="748"/>
      <c r="Q514" s="749"/>
      <c r="R514" s="748"/>
      <c r="S514" s="749"/>
      <c r="T514" s="76"/>
      <c r="U514" s="70">
        <f t="shared" ref="U514:U519" si="69">IF(OR(D514="s",F514="s",H514="s",J514="s",L514="s",N514="s",P514="s",R514="s"), 0, IF(OR(D514="a",F514="a",H514="a",J514="a",L514="a",N514="a",P514="a",R514="a"),V514,0))</f>
        <v>0</v>
      </c>
      <c r="V514" s="420">
        <v>5</v>
      </c>
      <c r="W514" s="82">
        <f>COUNTIF(D514:S514,"a")+COUNTIF(D514:S514,"s")</f>
        <v>0</v>
      </c>
      <c r="X514" s="717"/>
      <c r="Y514" s="696"/>
      <c r="Z514" s="697"/>
      <c r="AA514" s="698"/>
    </row>
    <row r="515" spans="1:27" ht="45" customHeight="1" x14ac:dyDescent="0.2">
      <c r="A515" s="421"/>
      <c r="B515" s="319" t="s">
        <v>11</v>
      </c>
      <c r="C515" s="281" t="s">
        <v>258</v>
      </c>
      <c r="D515" s="742"/>
      <c r="E515" s="743"/>
      <c r="F515" s="742"/>
      <c r="G515" s="743"/>
      <c r="H515" s="742"/>
      <c r="I515" s="743"/>
      <c r="J515" s="742"/>
      <c r="K515" s="743"/>
      <c r="L515" s="742"/>
      <c r="M515" s="743"/>
      <c r="N515" s="742"/>
      <c r="O515" s="743"/>
      <c r="P515" s="742"/>
      <c r="Q515" s="743"/>
      <c r="R515" s="742"/>
      <c r="S515" s="743"/>
      <c r="T515" s="76"/>
      <c r="U515" s="67">
        <f t="shared" si="69"/>
        <v>0</v>
      </c>
      <c r="V515" s="417">
        <v>5</v>
      </c>
      <c r="W515" s="82">
        <f>COUNTIF(D515:S515,"a")+COUNTIF(D515:S515,"s")</f>
        <v>0</v>
      </c>
      <c r="X515" s="717"/>
      <c r="Z515" s="697" t="s">
        <v>656</v>
      </c>
      <c r="AA515" s="698"/>
    </row>
    <row r="516" spans="1:27" ht="27.95" customHeight="1" x14ac:dyDescent="0.2">
      <c r="A516" s="421"/>
      <c r="B516" s="319" t="s">
        <v>259</v>
      </c>
      <c r="C516" s="281" t="s">
        <v>260</v>
      </c>
      <c r="D516" s="764"/>
      <c r="E516" s="765"/>
      <c r="F516" s="764"/>
      <c r="G516" s="765"/>
      <c r="H516" s="764"/>
      <c r="I516" s="765"/>
      <c r="J516" s="764"/>
      <c r="K516" s="765"/>
      <c r="L516" s="764"/>
      <c r="M516" s="765"/>
      <c r="N516" s="764"/>
      <c r="O516" s="765"/>
      <c r="P516" s="764"/>
      <c r="Q516" s="765"/>
      <c r="R516" s="764"/>
      <c r="S516" s="765"/>
      <c r="T516" s="76"/>
      <c r="U516" s="67">
        <f t="shared" si="69"/>
        <v>0</v>
      </c>
      <c r="V516" s="422">
        <v>5</v>
      </c>
      <c r="W516" s="82">
        <f>IF((COUNTIF(D516:S516,"a")+COUNTIF(D516:S516,"s"))&gt;0,IF(OR((COUNTIF(D519:S519,"a")+COUNTIF(D519:S519,"s"))),0,COUNTIF(D516:S516,"a")+COUNTIF(D516:S516,"s")),COUNTIF(D516:S516,"a")+COUNTIF(D516:S516,"s"))</f>
        <v>0</v>
      </c>
      <c r="X516" s="717"/>
      <c r="Z516" s="697" t="s">
        <v>656</v>
      </c>
      <c r="AA516" s="698"/>
    </row>
    <row r="517" spans="1:27" ht="27.95" customHeight="1" x14ac:dyDescent="0.2">
      <c r="A517" s="421"/>
      <c r="B517" s="319" t="s">
        <v>261</v>
      </c>
      <c r="C517" s="281" t="s">
        <v>262</v>
      </c>
      <c r="D517" s="742"/>
      <c r="E517" s="743"/>
      <c r="F517" s="742"/>
      <c r="G517" s="743"/>
      <c r="H517" s="742"/>
      <c r="I517" s="743"/>
      <c r="J517" s="742"/>
      <c r="K517" s="743"/>
      <c r="L517" s="742"/>
      <c r="M517" s="743"/>
      <c r="N517" s="742"/>
      <c r="O517" s="743"/>
      <c r="P517" s="742"/>
      <c r="Q517" s="743"/>
      <c r="R517" s="742"/>
      <c r="S517" s="743"/>
      <c r="T517" s="76"/>
      <c r="U517" s="67">
        <f t="shared" si="69"/>
        <v>0</v>
      </c>
      <c r="V517" s="417">
        <v>5</v>
      </c>
      <c r="W517" s="82">
        <f>IF((COUNTIF(D517:S517,"a")+COUNTIF(D517:S517,"s"))&gt;0,IF(OR((COUNTIF(D519:S519,"a")+COUNTIF(D519:S519,"s"))),0,COUNTIF(D517:S517,"a")+COUNTIF(D517:S517,"s")),COUNTIF(D517:S517,"a")+COUNTIF(D517:S517,"s"))</f>
        <v>0</v>
      </c>
      <c r="X517" s="717"/>
      <c r="Z517" s="697"/>
      <c r="AA517" s="698"/>
    </row>
    <row r="518" spans="1:27" ht="27.95" customHeight="1" x14ac:dyDescent="0.2">
      <c r="A518" s="421"/>
      <c r="B518" s="319" t="s">
        <v>263</v>
      </c>
      <c r="C518" s="281" t="s">
        <v>264</v>
      </c>
      <c r="D518" s="764"/>
      <c r="E518" s="765"/>
      <c r="F518" s="764"/>
      <c r="G518" s="765"/>
      <c r="H518" s="764"/>
      <c r="I518" s="765"/>
      <c r="J518" s="764"/>
      <c r="K518" s="765"/>
      <c r="L518" s="764"/>
      <c r="M518" s="765"/>
      <c r="N518" s="764"/>
      <c r="O518" s="765"/>
      <c r="P518" s="764"/>
      <c r="Q518" s="765"/>
      <c r="R518" s="764"/>
      <c r="S518" s="765"/>
      <c r="T518" s="76"/>
      <c r="U518" s="67">
        <f t="shared" si="69"/>
        <v>0</v>
      </c>
      <c r="V518" s="422">
        <v>5</v>
      </c>
      <c r="W518" s="82">
        <f>IF((COUNTIF(D518:S518,"a")+COUNTIF(D518:S518,"s"))&gt;0,IF(OR((COUNTIF(D519:S519,"a")+COUNTIF(D519:S519,"s"))),0,COUNTIF(D518:S518,"a")+COUNTIF(D518:S518,"s")),COUNTIF(D518:S518,"a")+COUNTIF(D518:S518,"s"))</f>
        <v>0</v>
      </c>
      <c r="X518" s="717"/>
      <c r="Z518" s="697"/>
      <c r="AA518" s="698"/>
    </row>
    <row r="519" spans="1:27" ht="45" customHeight="1" thickBot="1" x14ac:dyDescent="0.25">
      <c r="A519" s="421"/>
      <c r="B519" s="320" t="s">
        <v>311</v>
      </c>
      <c r="C519" s="287" t="s">
        <v>1390</v>
      </c>
      <c r="D519" s="742"/>
      <c r="E519" s="743"/>
      <c r="F519" s="742"/>
      <c r="G519" s="743"/>
      <c r="H519" s="742"/>
      <c r="I519" s="743"/>
      <c r="J519" s="742"/>
      <c r="K519" s="743"/>
      <c r="L519" s="742"/>
      <c r="M519" s="743"/>
      <c r="N519" s="742"/>
      <c r="O519" s="743"/>
      <c r="P519" s="742"/>
      <c r="Q519" s="743"/>
      <c r="R519" s="742"/>
      <c r="S519" s="743"/>
      <c r="T519" s="76"/>
      <c r="U519" s="109">
        <f t="shared" si="69"/>
        <v>0</v>
      </c>
      <c r="V519" s="417">
        <v>20</v>
      </c>
      <c r="W519" s="82">
        <f>IF((COUNTIF(D519:S519,"a")+COUNTIF(D519:S519,"s"))&gt;0,IF(OR((COUNTIF(D516:S518,"a")+COUNTIF(D516:S518,"s"))),0,COUNTIF(D519:S519,"a")+COUNTIF(D519:S519,"s")),COUNTIF(D519:S519,"a")+COUNTIF(D519:S519,"s"))</f>
        <v>0</v>
      </c>
      <c r="X519" s="717"/>
      <c r="Z519" s="697"/>
      <c r="AA519" s="698"/>
    </row>
    <row r="520" spans="1:27" ht="21" customHeight="1" thickTop="1" thickBot="1" x14ac:dyDescent="0.25">
      <c r="A520" s="421"/>
      <c r="B520" s="80"/>
      <c r="C520" s="177"/>
      <c r="D520" s="750" t="s">
        <v>662</v>
      </c>
      <c r="E520" s="779"/>
      <c r="F520" s="779"/>
      <c r="G520" s="779"/>
      <c r="H520" s="779"/>
      <c r="I520" s="779"/>
      <c r="J520" s="779"/>
      <c r="K520" s="779"/>
      <c r="L520" s="779"/>
      <c r="M520" s="779"/>
      <c r="N520" s="779"/>
      <c r="O520" s="779"/>
      <c r="P520" s="779"/>
      <c r="Q520" s="779"/>
      <c r="R520" s="779"/>
      <c r="S520" s="779"/>
      <c r="T520" s="780"/>
      <c r="U520" s="2">
        <f>SUM(U514:U519)</f>
        <v>0</v>
      </c>
      <c r="V520" s="418">
        <f>SUM(V514:V515)+V519</f>
        <v>30</v>
      </c>
      <c r="W520" s="82"/>
      <c r="X520" s="721"/>
      <c r="Z520" s="697"/>
      <c r="AA520" s="698"/>
    </row>
    <row r="521" spans="1:27" ht="21" customHeight="1" thickBot="1" x14ac:dyDescent="0.25">
      <c r="A521" s="421"/>
      <c r="B521" s="183"/>
      <c r="C521" s="181"/>
      <c r="D521" s="945"/>
      <c r="E521" s="741"/>
      <c r="F521" s="797">
        <v>10</v>
      </c>
      <c r="G521" s="798"/>
      <c r="H521" s="798"/>
      <c r="I521" s="798"/>
      <c r="J521" s="798"/>
      <c r="K521" s="798"/>
      <c r="L521" s="798"/>
      <c r="M521" s="798"/>
      <c r="N521" s="798"/>
      <c r="O521" s="798"/>
      <c r="P521" s="798"/>
      <c r="Q521" s="798"/>
      <c r="R521" s="798"/>
      <c r="S521" s="798"/>
      <c r="T521" s="798"/>
      <c r="U521" s="798"/>
      <c r="V521" s="799"/>
      <c r="W521" s="82"/>
      <c r="Z521" s="697"/>
      <c r="AA521" s="698"/>
    </row>
    <row r="522" spans="1:27" ht="30" customHeight="1" thickBot="1" x14ac:dyDescent="0.25">
      <c r="A522" s="421"/>
      <c r="B522" s="322">
        <v>5900</v>
      </c>
      <c r="C522" s="264" t="s">
        <v>983</v>
      </c>
      <c r="D522" s="26" t="s">
        <v>661</v>
      </c>
      <c r="E522" s="30"/>
      <c r="F522" s="26" t="s">
        <v>661</v>
      </c>
      <c r="G522" s="30"/>
      <c r="H522" s="26"/>
      <c r="I522" s="29"/>
      <c r="J522" s="27"/>
      <c r="K522" s="29"/>
      <c r="L522" s="26" t="s">
        <v>661</v>
      </c>
      <c r="M522" s="29"/>
      <c r="N522" s="26" t="s">
        <v>661</v>
      </c>
      <c r="O522" s="29"/>
      <c r="P522" s="27"/>
      <c r="Q522" s="29"/>
      <c r="R522" s="27"/>
      <c r="S522" s="29"/>
      <c r="T522" s="32"/>
      <c r="U522" s="48"/>
      <c r="V522" s="424"/>
      <c r="W522" s="82"/>
      <c r="X522" s="722"/>
      <c r="Y522" s="699"/>
      <c r="Z522" s="697"/>
      <c r="AA522" s="698"/>
    </row>
    <row r="523" spans="1:27" s="705" customFormat="1" ht="27.95" customHeight="1" x14ac:dyDescent="0.2">
      <c r="A523" s="421"/>
      <c r="B523" s="310" t="s">
        <v>281</v>
      </c>
      <c r="C523" s="279" t="s">
        <v>1391</v>
      </c>
      <c r="D523" s="748"/>
      <c r="E523" s="749"/>
      <c r="F523" s="748"/>
      <c r="G523" s="749"/>
      <c r="H523" s="748"/>
      <c r="I523" s="749"/>
      <c r="J523" s="748"/>
      <c r="K523" s="749"/>
      <c r="L523" s="748"/>
      <c r="M523" s="749"/>
      <c r="N523" s="748"/>
      <c r="O523" s="749"/>
      <c r="P523" s="748"/>
      <c r="Q523" s="749"/>
      <c r="R523" s="748"/>
      <c r="S523" s="749"/>
      <c r="T523" s="112"/>
      <c r="U523" s="70">
        <f>IF(OR(D523="s",F523="s",H523="s",J523="s",L523="s",N523="s",P523="s",R523="s"), 0, IF(OR(D523="a",F523="a",H523="a",J523="a",L523="a",N523="a",P523="a",R523="a"),V523,0))</f>
        <v>0</v>
      </c>
      <c r="V523" s="426">
        <f>IF(T523="na",0,110)</f>
        <v>110</v>
      </c>
      <c r="W523" s="82">
        <f>IF((COUNTIF(D523:S523,"a")+COUNTIF(D523:S523,"s")+COUNTIF(T523,"na"))&gt;0,IF((COUNTIF(D524:S524,"a")+COUNTIF(D524:S524,"s")),0,COUNTIF(D523:S523,"a")+COUNTIF(D523:S523,"s")+COUNTIF(T523,"na")),COUNTIF(D523:S523,"a")+COUNTIF(D523:S523,"s"))</f>
        <v>0</v>
      </c>
      <c r="X523" s="720"/>
      <c r="Y523" s="699"/>
      <c r="Z523" s="697"/>
      <c r="AA523" s="698"/>
    </row>
    <row r="524" spans="1:27" s="705" customFormat="1" ht="45" customHeight="1" x14ac:dyDescent="0.2">
      <c r="A524" s="421"/>
      <c r="B524" s="321" t="s">
        <v>208</v>
      </c>
      <c r="C524" s="280" t="s">
        <v>1392</v>
      </c>
      <c r="D524" s="742"/>
      <c r="E524" s="743"/>
      <c r="F524" s="742"/>
      <c r="G524" s="743"/>
      <c r="H524" s="742"/>
      <c r="I524" s="743"/>
      <c r="J524" s="742"/>
      <c r="K524" s="743"/>
      <c r="L524" s="742"/>
      <c r="M524" s="743"/>
      <c r="N524" s="742"/>
      <c r="O524" s="743"/>
      <c r="P524" s="742"/>
      <c r="Q524" s="743"/>
      <c r="R524" s="742"/>
      <c r="S524" s="743"/>
      <c r="T524" s="291"/>
      <c r="U524" s="109">
        <f>IF(OR(D524="s",F524="s",H524="s",J524="s",L524="s",N524="s",P524="s",R524="s"), 0, IF(OR(D524="a",F524="a",H524="a",J524="a",L524="a",N524="a",P524="a",R524="a"),V524,0))</f>
        <v>0</v>
      </c>
      <c r="V524" s="417">
        <f>IF(T523="na",0,40)</f>
        <v>40</v>
      </c>
      <c r="W524" s="82">
        <f>IF((COUNTIF(D524:S524,"a")+COUNTIF(D524:S524,"s"))&gt;0,IF((COUNTIF(D523:S523,"a")+COUNTIF(D523:S523,"s")+COUNTIF(T523,"na")),0,COUNTIF(D524:S524,"a")+COUNTIF(D524:S524,"s")),COUNTIF(D524:S524,"a")+COUNTIF(D524:S524,"s"))</f>
        <v>0</v>
      </c>
      <c r="X524" s="720"/>
      <c r="Y524" s="699"/>
      <c r="Z524" s="697" t="s">
        <v>656</v>
      </c>
      <c r="AA524" s="698"/>
    </row>
    <row r="525" spans="1:27" ht="45" customHeight="1" thickBot="1" x14ac:dyDescent="0.25">
      <c r="A525" s="421"/>
      <c r="B525" s="319" t="s">
        <v>1800</v>
      </c>
      <c r="C525" s="281" t="s">
        <v>1801</v>
      </c>
      <c r="D525" s="764"/>
      <c r="E525" s="765"/>
      <c r="F525" s="764"/>
      <c r="G525" s="765"/>
      <c r="H525" s="764"/>
      <c r="I525" s="765"/>
      <c r="J525" s="764"/>
      <c r="K525" s="765"/>
      <c r="L525" s="764"/>
      <c r="M525" s="765"/>
      <c r="N525" s="764"/>
      <c r="O525" s="765"/>
      <c r="P525" s="764"/>
      <c r="Q525" s="765"/>
      <c r="R525" s="764"/>
      <c r="S525" s="765"/>
      <c r="T525" s="76"/>
      <c r="U525" s="67">
        <f t="shared" ref="U525" si="70">IF(OR(D525="s",F525="s",H525="s",J525="s",L525="s",N525="s",P525="s",R525="s"), 0, IF(OR(D525="a",F525="a",H525="a",J525="a",L525="a",N525="a",P525="a",R525="a"),V525,0))</f>
        <v>0</v>
      </c>
      <c r="V525" s="422">
        <v>20</v>
      </c>
      <c r="W525" s="82">
        <f>COUNTIF(D525:S525,"a")+COUNTIF(D525:S525,"s")</f>
        <v>0</v>
      </c>
      <c r="X525" s="717"/>
      <c r="Z525" s="697"/>
      <c r="AA525" s="698"/>
    </row>
    <row r="526" spans="1:27" ht="21" customHeight="1" thickTop="1" thickBot="1" x14ac:dyDescent="0.25">
      <c r="A526" s="421"/>
      <c r="B526" s="319"/>
      <c r="C526" s="177"/>
      <c r="D526" s="750" t="s">
        <v>662</v>
      </c>
      <c r="E526" s="779"/>
      <c r="F526" s="779"/>
      <c r="G526" s="779"/>
      <c r="H526" s="779"/>
      <c r="I526" s="779"/>
      <c r="J526" s="779"/>
      <c r="K526" s="779"/>
      <c r="L526" s="779"/>
      <c r="M526" s="779"/>
      <c r="N526" s="779"/>
      <c r="O526" s="779"/>
      <c r="P526" s="779"/>
      <c r="Q526" s="779"/>
      <c r="R526" s="779"/>
      <c r="S526" s="779"/>
      <c r="T526" s="780"/>
      <c r="U526" s="1">
        <f>SUM(U523:U525)</f>
        <v>0</v>
      </c>
      <c r="V526" s="418">
        <f>SUM(V523,V525)</f>
        <v>130</v>
      </c>
      <c r="W526" s="82"/>
      <c r="X526" s="724"/>
      <c r="Y526" s="699"/>
      <c r="Z526" s="697"/>
      <c r="AA526" s="698"/>
    </row>
    <row r="527" spans="1:27" ht="21" customHeight="1" thickBot="1" x14ac:dyDescent="0.25">
      <c r="A527" s="411"/>
      <c r="B527" s="344"/>
      <c r="C527" s="268"/>
      <c r="D527" s="945"/>
      <c r="E527" s="741"/>
      <c r="F527" s="1016">
        <f>IF(T523="na",0,40)</f>
        <v>40</v>
      </c>
      <c r="G527" s="1017"/>
      <c r="H527" s="1017"/>
      <c r="I527" s="1017"/>
      <c r="J527" s="1017"/>
      <c r="K527" s="1017"/>
      <c r="L527" s="1017"/>
      <c r="M527" s="1017"/>
      <c r="N527" s="1017"/>
      <c r="O527" s="1017"/>
      <c r="P527" s="1017"/>
      <c r="Q527" s="1017"/>
      <c r="R527" s="1017"/>
      <c r="S527" s="1017"/>
      <c r="T527" s="1017"/>
      <c r="U527" s="1017"/>
      <c r="V527" s="1018"/>
      <c r="W527" s="82"/>
      <c r="X527" s="722"/>
      <c r="Y527" s="699"/>
      <c r="Z527" s="697"/>
      <c r="AA527" s="698"/>
    </row>
    <row r="528" spans="1:27" ht="33" customHeight="1" thickBot="1" x14ac:dyDescent="0.25">
      <c r="A528" s="531"/>
      <c r="B528" s="345">
        <v>6000</v>
      </c>
      <c r="C528" s="1000" t="s">
        <v>690</v>
      </c>
      <c r="D528" s="956"/>
      <c r="E528" s="956"/>
      <c r="F528" s="956"/>
      <c r="G528" s="956"/>
      <c r="H528" s="956"/>
      <c r="I528" s="956"/>
      <c r="J528" s="956"/>
      <c r="K528" s="956"/>
      <c r="L528" s="956"/>
      <c r="M528" s="956"/>
      <c r="N528" s="956"/>
      <c r="O528" s="956"/>
      <c r="P528" s="956"/>
      <c r="Q528" s="956"/>
      <c r="R528" s="956"/>
      <c r="S528" s="956"/>
      <c r="T528" s="956"/>
      <c r="U528" s="956"/>
      <c r="V528" s="957"/>
      <c r="W528" s="82"/>
      <c r="Z528" s="697"/>
      <c r="AA528" s="698"/>
    </row>
    <row r="529" spans="1:27" ht="30" customHeight="1" thickBot="1" x14ac:dyDescent="0.25">
      <c r="A529" s="421"/>
      <c r="B529" s="323" t="s">
        <v>230</v>
      </c>
      <c r="C529" s="402" t="s">
        <v>312</v>
      </c>
      <c r="D529" s="26" t="s">
        <v>661</v>
      </c>
      <c r="E529" s="35"/>
      <c r="F529" s="30"/>
      <c r="G529" s="31"/>
      <c r="H529" s="27"/>
      <c r="I529" s="29"/>
      <c r="J529" s="30"/>
      <c r="K529" s="31"/>
      <c r="L529" s="26" t="s">
        <v>661</v>
      </c>
      <c r="M529" s="29"/>
      <c r="N529" s="550"/>
      <c r="O529" s="256"/>
      <c r="P529" s="257"/>
      <c r="Q529" s="407"/>
      <c r="R529" s="257"/>
      <c r="S529" s="255"/>
      <c r="T529" s="390"/>
      <c r="U529" s="374"/>
      <c r="V529" s="414"/>
      <c r="W529" s="82"/>
      <c r="Z529" s="697"/>
      <c r="AA529" s="698"/>
    </row>
    <row r="530" spans="1:27" ht="27.95" customHeight="1" x14ac:dyDescent="0.2">
      <c r="A530" s="421"/>
      <c r="B530" s="343" t="s">
        <v>691</v>
      </c>
      <c r="C530" s="142" t="s">
        <v>847</v>
      </c>
      <c r="D530" s="748"/>
      <c r="E530" s="749"/>
      <c r="F530" s="748"/>
      <c r="G530" s="749"/>
      <c r="H530" s="748"/>
      <c r="I530" s="749"/>
      <c r="J530" s="748"/>
      <c r="K530" s="749"/>
      <c r="L530" s="748"/>
      <c r="M530" s="749"/>
      <c r="N530" s="748"/>
      <c r="O530" s="749"/>
      <c r="P530" s="748"/>
      <c r="Q530" s="749"/>
      <c r="R530" s="748"/>
      <c r="S530" s="749"/>
      <c r="T530" s="66"/>
      <c r="U530" s="70">
        <f>IF(OR(D530="s",F530="s",H530="s",J530="s",L530="s",N530="s",P530="s",R530="s"), 0, IF(OR(D530="a",F530="a",H530="a",J530="a",L530="a",N530="a",P530="a",R530="a",T530="NA"),V530,0))</f>
        <v>0</v>
      </c>
      <c r="V530" s="426">
        <v>10</v>
      </c>
      <c r="W530" s="82">
        <f>COUNTIF(D530:S530,"a")+COUNTIF(D530:S530,"s")+COUNTIF(T530,"NA")</f>
        <v>0</v>
      </c>
      <c r="X530" s="717"/>
      <c r="Z530" s="697" t="s">
        <v>656</v>
      </c>
      <c r="AA530" s="698"/>
    </row>
    <row r="531" spans="1:27" ht="27.95" customHeight="1" x14ac:dyDescent="0.2">
      <c r="A531" s="421"/>
      <c r="B531" s="313" t="s">
        <v>287</v>
      </c>
      <c r="C531" s="143" t="s">
        <v>848</v>
      </c>
      <c r="D531" s="742"/>
      <c r="E531" s="743"/>
      <c r="F531" s="742"/>
      <c r="G531" s="743"/>
      <c r="H531" s="742"/>
      <c r="I531" s="743"/>
      <c r="J531" s="742"/>
      <c r="K531" s="743"/>
      <c r="L531" s="742"/>
      <c r="M531" s="743"/>
      <c r="N531" s="742"/>
      <c r="O531" s="743"/>
      <c r="P531" s="742"/>
      <c r="Q531" s="743"/>
      <c r="R531" s="742"/>
      <c r="S531" s="743"/>
      <c r="T531" s="66"/>
      <c r="U531" s="67">
        <f>IF(OR(D531="s",F531="s",H531="s",J531="s",L531="s",N531="s",P531="s",R531="s"), 0, IF(OR(D531="a",F531="a",H531="a",J531="a",L531="a",N531="a",P531="a",R531="a",T531="NA"),V531,0))</f>
        <v>0</v>
      </c>
      <c r="V531" s="417">
        <v>10</v>
      </c>
      <c r="W531" s="82">
        <f>COUNTIF(D531:S531,"a")+COUNTIF(D531:S531,"s")+COUNTIF(T531,"NA")</f>
        <v>0</v>
      </c>
      <c r="X531" s="717"/>
      <c r="Z531" s="697" t="s">
        <v>656</v>
      </c>
      <c r="AA531" s="698"/>
    </row>
    <row r="532" spans="1:27" ht="27.95" customHeight="1" x14ac:dyDescent="0.2">
      <c r="A532" s="421"/>
      <c r="B532" s="346" t="s">
        <v>870</v>
      </c>
      <c r="C532" s="143" t="s">
        <v>825</v>
      </c>
      <c r="D532" s="742"/>
      <c r="E532" s="743"/>
      <c r="F532" s="742"/>
      <c r="G532" s="743"/>
      <c r="H532" s="742"/>
      <c r="I532" s="743"/>
      <c r="J532" s="742"/>
      <c r="K532" s="743"/>
      <c r="L532" s="742"/>
      <c r="M532" s="743"/>
      <c r="N532" s="742"/>
      <c r="O532" s="743"/>
      <c r="P532" s="742"/>
      <c r="Q532" s="743"/>
      <c r="R532" s="742"/>
      <c r="S532" s="743"/>
      <c r="T532" s="76"/>
      <c r="U532" s="67">
        <f>IF(OR(D532="s",F532="s",H532="s",J532="s",L532="s",N532="s",P532="s",R532="s"), 0, IF(OR(D532="a",F532="a",H532="a",J532="a",L532="a",N532="a",P532="a",R532="a"),V532,0))</f>
        <v>0</v>
      </c>
      <c r="V532" s="417">
        <v>10</v>
      </c>
      <c r="W532" s="82">
        <f>COUNTIF(D532:S532,"a")+COUNTIF(D532:S532,"s")</f>
        <v>0</v>
      </c>
      <c r="X532" s="717"/>
      <c r="Z532" s="697" t="s">
        <v>656</v>
      </c>
      <c r="AA532" s="698"/>
    </row>
    <row r="533" spans="1:27" ht="45" customHeight="1" thickBot="1" x14ac:dyDescent="0.25">
      <c r="A533" s="421"/>
      <c r="B533" s="313" t="s">
        <v>871</v>
      </c>
      <c r="C533" s="143" t="s">
        <v>849</v>
      </c>
      <c r="D533" s="742"/>
      <c r="E533" s="743"/>
      <c r="F533" s="742"/>
      <c r="G533" s="743"/>
      <c r="H533" s="742"/>
      <c r="I533" s="743"/>
      <c r="J533" s="742"/>
      <c r="K533" s="743"/>
      <c r="L533" s="742"/>
      <c r="M533" s="743"/>
      <c r="N533" s="742"/>
      <c r="O533" s="743"/>
      <c r="P533" s="742"/>
      <c r="Q533" s="743"/>
      <c r="R533" s="742"/>
      <c r="S533" s="743"/>
      <c r="T533" s="76"/>
      <c r="U533" s="71">
        <f>IF(OR(D533="s",F533="s",H533="s",J533="s",L533="s",N533="s",P533="s",R533="s"), 0, IF(OR(D533="a",F533="a",H533="a",J533="a",L533="a",N533="a",P533="a",R533="a"),V533,0))</f>
        <v>0</v>
      </c>
      <c r="V533" s="417">
        <v>20</v>
      </c>
      <c r="W533" s="82">
        <f>COUNTIF(D533:S533,"a")+COUNTIF(D533:S533,"s")</f>
        <v>0</v>
      </c>
      <c r="X533" s="717"/>
      <c r="Z533" s="697" t="s">
        <v>656</v>
      </c>
      <c r="AA533" s="698"/>
    </row>
    <row r="534" spans="1:27" ht="21" customHeight="1" thickTop="1" thickBot="1" x14ac:dyDescent="0.25">
      <c r="A534" s="421"/>
      <c r="B534" s="80"/>
      <c r="C534" s="164"/>
      <c r="D534" s="750" t="s">
        <v>662</v>
      </c>
      <c r="E534" s="779"/>
      <c r="F534" s="779"/>
      <c r="G534" s="779"/>
      <c r="H534" s="779"/>
      <c r="I534" s="779"/>
      <c r="J534" s="779"/>
      <c r="K534" s="779"/>
      <c r="L534" s="779"/>
      <c r="M534" s="779"/>
      <c r="N534" s="779"/>
      <c r="O534" s="779"/>
      <c r="P534" s="779"/>
      <c r="Q534" s="779"/>
      <c r="R534" s="779"/>
      <c r="S534" s="779"/>
      <c r="T534" s="780"/>
      <c r="U534" s="1">
        <f>SUM(U530:U533)</f>
        <v>0</v>
      </c>
      <c r="V534" s="418">
        <f>SUM(V530:V533)</f>
        <v>50</v>
      </c>
      <c r="W534" s="82"/>
      <c r="X534" s="721"/>
      <c r="Z534" s="697"/>
      <c r="AA534" s="698"/>
    </row>
    <row r="535" spans="1:27" ht="21" customHeight="1" thickBot="1" x14ac:dyDescent="0.25">
      <c r="A535" s="421"/>
      <c r="B535" s="115"/>
      <c r="C535" s="381"/>
      <c r="D535" s="945"/>
      <c r="E535" s="741"/>
      <c r="F535" s="793">
        <v>50</v>
      </c>
      <c r="G535" s="746"/>
      <c r="H535" s="746"/>
      <c r="I535" s="746"/>
      <c r="J535" s="746"/>
      <c r="K535" s="746"/>
      <c r="L535" s="746"/>
      <c r="M535" s="746"/>
      <c r="N535" s="746"/>
      <c r="O535" s="746"/>
      <c r="P535" s="746"/>
      <c r="Q535" s="746"/>
      <c r="R535" s="746"/>
      <c r="S535" s="746"/>
      <c r="T535" s="746"/>
      <c r="U535" s="746"/>
      <c r="V535" s="747"/>
      <c r="W535" s="82"/>
      <c r="Z535" s="697"/>
      <c r="AA535" s="698"/>
    </row>
    <row r="536" spans="1:27" ht="30" customHeight="1" thickBot="1" x14ac:dyDescent="0.25">
      <c r="A536" s="421"/>
      <c r="B536" s="316" t="s">
        <v>313</v>
      </c>
      <c r="C536" s="157" t="s">
        <v>314</v>
      </c>
      <c r="D536" s="26" t="s">
        <v>661</v>
      </c>
      <c r="E536" s="37"/>
      <c r="F536" s="26" t="s">
        <v>661</v>
      </c>
      <c r="G536" s="37"/>
      <c r="H536" s="26" t="s">
        <v>661</v>
      </c>
      <c r="I536" s="370"/>
      <c r="J536" s="550"/>
      <c r="K536" s="370"/>
      <c r="L536" s="371"/>
      <c r="M536" s="370"/>
      <c r="N536" s="371"/>
      <c r="O536" s="370"/>
      <c r="P536" s="371"/>
      <c r="Q536" s="370"/>
      <c r="R536" s="371"/>
      <c r="S536" s="370"/>
      <c r="T536" s="372"/>
      <c r="U536" s="373"/>
      <c r="V536" s="373"/>
      <c r="W536" s="82"/>
      <c r="Z536" s="697"/>
      <c r="AA536" s="698"/>
    </row>
    <row r="537" spans="1:27" ht="45" customHeight="1" x14ac:dyDescent="0.2">
      <c r="A537" s="421"/>
      <c r="B537" s="310" t="s">
        <v>396</v>
      </c>
      <c r="C537" s="124" t="s">
        <v>850</v>
      </c>
      <c r="D537" s="748"/>
      <c r="E537" s="749"/>
      <c r="F537" s="748"/>
      <c r="G537" s="749"/>
      <c r="H537" s="748"/>
      <c r="I537" s="749"/>
      <c r="J537" s="748"/>
      <c r="K537" s="749"/>
      <c r="L537" s="748"/>
      <c r="M537" s="749"/>
      <c r="N537" s="748"/>
      <c r="O537" s="749"/>
      <c r="P537" s="748"/>
      <c r="Q537" s="749"/>
      <c r="R537" s="748"/>
      <c r="S537" s="749"/>
      <c r="T537" s="69"/>
      <c r="U537" s="70">
        <f>IF(OR(D537="s",F537="s",H537="s",J537="s",L537="s",N537="s",P537="s",R537="s"), 0, IF(OR(D537="a",F537="a",H537="a",J537="a",L537="a",N537="a",P537="a",R537="a"),V537,0))</f>
        <v>0</v>
      </c>
      <c r="V537" s="420">
        <v>10</v>
      </c>
      <c r="W537" s="82">
        <f>COUNTIF(D537:S537,"a")+COUNTIF(D537:S537,"s")</f>
        <v>0</v>
      </c>
      <c r="X537" s="717"/>
      <c r="Y537" s="694"/>
      <c r="Z537" s="697" t="s">
        <v>656</v>
      </c>
      <c r="AA537" s="698"/>
    </row>
    <row r="538" spans="1:27" ht="27.95" customHeight="1" x14ac:dyDescent="0.2">
      <c r="A538" s="421"/>
      <c r="B538" s="319" t="s">
        <v>180</v>
      </c>
      <c r="C538" s="124" t="s">
        <v>851</v>
      </c>
      <c r="D538" s="742"/>
      <c r="E538" s="743"/>
      <c r="F538" s="742"/>
      <c r="G538" s="743"/>
      <c r="H538" s="742"/>
      <c r="I538" s="743"/>
      <c r="J538" s="742"/>
      <c r="K538" s="743"/>
      <c r="L538" s="742"/>
      <c r="M538" s="743"/>
      <c r="N538" s="742"/>
      <c r="O538" s="743"/>
      <c r="P538" s="742"/>
      <c r="Q538" s="743"/>
      <c r="R538" s="742"/>
      <c r="S538" s="743"/>
      <c r="T538" s="69"/>
      <c r="U538" s="67">
        <f>IF(OR(D538="s",F538="s",H538="s",J538="s",L538="s",N538="s",P538="s",R538="s"), 0, IF(OR(D538="a",F538="a",H538="a",J538="a",L538="a",N538="a",P538="a",R538="a"),V538,0))</f>
        <v>0</v>
      </c>
      <c r="V538" s="420">
        <v>10</v>
      </c>
      <c r="W538" s="82">
        <f>COUNTIF(D538:S538,"a")+COUNTIF(D538:S538,"s")</f>
        <v>0</v>
      </c>
      <c r="X538" s="717"/>
      <c r="Y538" s="694"/>
      <c r="Z538" s="697"/>
      <c r="AA538" s="698"/>
    </row>
    <row r="539" spans="1:27" ht="27.95" customHeight="1" thickBot="1" x14ac:dyDescent="0.25">
      <c r="A539" s="421"/>
      <c r="B539" s="319" t="s">
        <v>315</v>
      </c>
      <c r="C539" s="131" t="s">
        <v>852</v>
      </c>
      <c r="D539" s="742"/>
      <c r="E539" s="743"/>
      <c r="F539" s="742"/>
      <c r="G539" s="743"/>
      <c r="H539" s="742"/>
      <c r="I539" s="743"/>
      <c r="J539" s="742"/>
      <c r="K539" s="743"/>
      <c r="L539" s="742"/>
      <c r="M539" s="743"/>
      <c r="N539" s="742"/>
      <c r="O539" s="743"/>
      <c r="P539" s="742"/>
      <c r="Q539" s="743"/>
      <c r="R539" s="742"/>
      <c r="S539" s="743"/>
      <c r="T539" s="69"/>
      <c r="U539" s="67">
        <f>IF(OR(D539="s",F539="s",H539="s",J539="s",L539="s",N539="s",P539="s",R539="s"), 0, IF(OR(D539="a",F539="a",H539="a",J539="a",L539="a",N539="a",P539="a",R539="a"),V539,0))</f>
        <v>0</v>
      </c>
      <c r="V539" s="417">
        <v>10</v>
      </c>
      <c r="W539" s="82">
        <f>COUNTIF(D539:S539,"a")+COUNTIF(D539:S539,"s")</f>
        <v>0</v>
      </c>
      <c r="X539" s="717"/>
      <c r="Y539" s="694"/>
      <c r="Z539" s="697"/>
      <c r="AA539" s="698"/>
    </row>
    <row r="540" spans="1:27" ht="21" customHeight="1" thickTop="1" thickBot="1" x14ac:dyDescent="0.25">
      <c r="A540" s="421"/>
      <c r="B540" s="347"/>
      <c r="C540" s="184"/>
      <c r="D540" s="750" t="s">
        <v>662</v>
      </c>
      <c r="E540" s="779"/>
      <c r="F540" s="779"/>
      <c r="G540" s="779"/>
      <c r="H540" s="779"/>
      <c r="I540" s="779"/>
      <c r="J540" s="779"/>
      <c r="K540" s="779"/>
      <c r="L540" s="779"/>
      <c r="M540" s="779"/>
      <c r="N540" s="779"/>
      <c r="O540" s="779"/>
      <c r="P540" s="779"/>
      <c r="Q540" s="779"/>
      <c r="R540" s="779"/>
      <c r="S540" s="779"/>
      <c r="T540" s="780"/>
      <c r="U540" s="1">
        <f>SUM(U537:U539)</f>
        <v>0</v>
      </c>
      <c r="V540" s="418">
        <f>SUM(V537:V539)</f>
        <v>30</v>
      </c>
      <c r="W540" s="82"/>
      <c r="X540" s="721"/>
      <c r="Y540" s="694"/>
      <c r="Z540" s="697"/>
      <c r="AA540" s="698"/>
    </row>
    <row r="541" spans="1:27" ht="21" customHeight="1" thickBot="1" x14ac:dyDescent="0.25">
      <c r="A541" s="411"/>
      <c r="B541" s="326"/>
      <c r="C541" s="463"/>
      <c r="D541" s="945"/>
      <c r="E541" s="741"/>
      <c r="F541" s="790">
        <v>10</v>
      </c>
      <c r="G541" s="791"/>
      <c r="H541" s="791"/>
      <c r="I541" s="791"/>
      <c r="J541" s="791"/>
      <c r="K541" s="791"/>
      <c r="L541" s="791"/>
      <c r="M541" s="791"/>
      <c r="N541" s="791"/>
      <c r="O541" s="791"/>
      <c r="P541" s="791"/>
      <c r="Q541" s="791"/>
      <c r="R541" s="791"/>
      <c r="S541" s="791"/>
      <c r="T541" s="791"/>
      <c r="U541" s="791"/>
      <c r="V541" s="792"/>
      <c r="W541" s="82"/>
      <c r="Z541" s="697"/>
      <c r="AA541" s="698"/>
    </row>
    <row r="542" spans="1:27" ht="30" customHeight="1" thickBot="1" x14ac:dyDescent="0.25">
      <c r="A542" s="408"/>
      <c r="B542" s="316">
        <v>6200</v>
      </c>
      <c r="C542" s="157" t="s">
        <v>352</v>
      </c>
      <c r="D542" s="550" t="s">
        <v>661</v>
      </c>
      <c r="E542" s="549"/>
      <c r="F542" s="552" t="s">
        <v>661</v>
      </c>
      <c r="G542" s="552"/>
      <c r="H542" s="550"/>
      <c r="I542" s="370"/>
      <c r="J542" s="550" t="s">
        <v>661</v>
      </c>
      <c r="K542" s="370"/>
      <c r="L542" s="371"/>
      <c r="M542" s="370"/>
      <c r="N542" s="371"/>
      <c r="O542" s="370"/>
      <c r="P542" s="371"/>
      <c r="Q542" s="370"/>
      <c r="R542" s="371"/>
      <c r="S542" s="370"/>
      <c r="T542" s="372"/>
      <c r="U542" s="373"/>
      <c r="V542" s="373"/>
      <c r="W542" s="82"/>
      <c r="Z542" s="697"/>
      <c r="AA542" s="698"/>
    </row>
    <row r="543" spans="1:27" ht="27.95" customHeight="1" x14ac:dyDescent="0.2">
      <c r="A543" s="421"/>
      <c r="B543" s="310" t="s">
        <v>475</v>
      </c>
      <c r="C543" s="124" t="s">
        <v>241</v>
      </c>
      <c r="D543" s="748"/>
      <c r="E543" s="749"/>
      <c r="F543" s="748"/>
      <c r="G543" s="749"/>
      <c r="H543" s="748"/>
      <c r="I543" s="749"/>
      <c r="J543" s="748"/>
      <c r="K543" s="749"/>
      <c r="L543" s="748"/>
      <c r="M543" s="749"/>
      <c r="N543" s="748"/>
      <c r="O543" s="749"/>
      <c r="P543" s="748"/>
      <c r="Q543" s="749"/>
      <c r="R543" s="748"/>
      <c r="S543" s="749"/>
      <c r="T543" s="69"/>
      <c r="U543" s="70">
        <f>IF(OR(D543="s",F543="s",H543="s",J543="s",L543="s",N543="s",P543="s",R543="s"), 0, IF(OR(D543="a",F543="a",H543="a",J543="a",L543="a",N543="a",P543="a",R543="a"),V543,0))</f>
        <v>0</v>
      </c>
      <c r="V543" s="420">
        <v>10</v>
      </c>
      <c r="W543" s="82">
        <f>COUNTIF(D543:S543,"a")+COUNTIF(D543:S543,"s")</f>
        <v>0</v>
      </c>
      <c r="X543" s="717"/>
      <c r="Y543" s="694"/>
      <c r="Z543" s="697" t="s">
        <v>656</v>
      </c>
      <c r="AA543" s="698"/>
    </row>
    <row r="544" spans="1:27" ht="27.95" customHeight="1" x14ac:dyDescent="0.2">
      <c r="A544" s="421"/>
      <c r="B544" s="319" t="s">
        <v>476</v>
      </c>
      <c r="C544" s="124" t="s">
        <v>977</v>
      </c>
      <c r="D544" s="742"/>
      <c r="E544" s="743"/>
      <c r="F544" s="742"/>
      <c r="G544" s="743"/>
      <c r="H544" s="742"/>
      <c r="I544" s="743"/>
      <c r="J544" s="742"/>
      <c r="K544" s="743"/>
      <c r="L544" s="742"/>
      <c r="M544" s="743"/>
      <c r="N544" s="742"/>
      <c r="O544" s="743"/>
      <c r="P544" s="742"/>
      <c r="Q544" s="743"/>
      <c r="R544" s="742"/>
      <c r="S544" s="743"/>
      <c r="T544" s="69"/>
      <c r="U544" s="67">
        <f t="shared" ref="U544:U554" si="71">IF(OR(D544="s",F544="s",H544="s",J544="s",L544="s",N544="s",P544="s",R544="s"), 0, IF(OR(D544="a",F544="a",H544="a",J544="a",L544="a",N544="a",P544="a",R544="a"),V544,0))</f>
        <v>0</v>
      </c>
      <c r="V544" s="420">
        <v>5</v>
      </c>
      <c r="W544" s="82">
        <f t="shared" ref="W544:W552" si="72">COUNTIF(D544:S544,"a")+COUNTIF(D544:S544,"s")</f>
        <v>0</v>
      </c>
      <c r="X544" s="717"/>
      <c r="Y544" s="694"/>
      <c r="Z544" s="697"/>
      <c r="AA544" s="698"/>
    </row>
    <row r="545" spans="1:27" ht="45" customHeight="1" x14ac:dyDescent="0.2">
      <c r="A545" s="421"/>
      <c r="B545" s="319" t="s">
        <v>978</v>
      </c>
      <c r="C545" s="131" t="s">
        <v>148</v>
      </c>
      <c r="D545" s="742"/>
      <c r="E545" s="743"/>
      <c r="F545" s="742"/>
      <c r="G545" s="743"/>
      <c r="H545" s="742"/>
      <c r="I545" s="743"/>
      <c r="J545" s="742"/>
      <c r="K545" s="743"/>
      <c r="L545" s="742"/>
      <c r="M545" s="743"/>
      <c r="N545" s="742"/>
      <c r="O545" s="743"/>
      <c r="P545" s="742"/>
      <c r="Q545" s="743"/>
      <c r="R545" s="742"/>
      <c r="S545" s="743"/>
      <c r="T545" s="69"/>
      <c r="U545" s="67">
        <f t="shared" si="71"/>
        <v>0</v>
      </c>
      <c r="V545" s="417">
        <v>10</v>
      </c>
      <c r="W545" s="82">
        <f t="shared" si="72"/>
        <v>0</v>
      </c>
      <c r="X545" s="717"/>
      <c r="Y545" s="694"/>
      <c r="Z545" s="697"/>
      <c r="AA545" s="698"/>
    </row>
    <row r="546" spans="1:27" ht="67.7" customHeight="1" x14ac:dyDescent="0.2">
      <c r="A546" s="421"/>
      <c r="B546" s="319" t="s">
        <v>979</v>
      </c>
      <c r="C546" s="131" t="s">
        <v>228</v>
      </c>
      <c r="D546" s="742"/>
      <c r="E546" s="743"/>
      <c r="F546" s="742"/>
      <c r="G546" s="743"/>
      <c r="H546" s="742"/>
      <c r="I546" s="743"/>
      <c r="J546" s="742"/>
      <c r="K546" s="743"/>
      <c r="L546" s="742"/>
      <c r="M546" s="743"/>
      <c r="N546" s="742"/>
      <c r="O546" s="743"/>
      <c r="P546" s="742"/>
      <c r="Q546" s="743"/>
      <c r="R546" s="742"/>
      <c r="S546" s="743"/>
      <c r="T546" s="69"/>
      <c r="U546" s="67">
        <f t="shared" si="71"/>
        <v>0</v>
      </c>
      <c r="V546" s="422">
        <v>10</v>
      </c>
      <c r="W546" s="82">
        <f t="shared" si="72"/>
        <v>0</v>
      </c>
      <c r="X546" s="717"/>
      <c r="Y546" s="694"/>
      <c r="Z546" s="697" t="s">
        <v>656</v>
      </c>
      <c r="AA546" s="698"/>
    </row>
    <row r="547" spans="1:27" ht="45" customHeight="1" x14ac:dyDescent="0.2">
      <c r="A547" s="421"/>
      <c r="B547" s="319" t="s">
        <v>50</v>
      </c>
      <c r="C547" s="131" t="s">
        <v>450</v>
      </c>
      <c r="D547" s="742"/>
      <c r="E547" s="743"/>
      <c r="F547" s="742"/>
      <c r="G547" s="743"/>
      <c r="H547" s="742"/>
      <c r="I547" s="743"/>
      <c r="J547" s="742"/>
      <c r="K547" s="743"/>
      <c r="L547" s="742"/>
      <c r="M547" s="743"/>
      <c r="N547" s="742"/>
      <c r="O547" s="743"/>
      <c r="P547" s="742"/>
      <c r="Q547" s="743"/>
      <c r="R547" s="742"/>
      <c r="S547" s="743"/>
      <c r="T547" s="69"/>
      <c r="U547" s="67">
        <f t="shared" si="71"/>
        <v>0</v>
      </c>
      <c r="V547" s="417">
        <v>10</v>
      </c>
      <c r="W547" s="82">
        <f t="shared" si="72"/>
        <v>0</v>
      </c>
      <c r="X547" s="717"/>
      <c r="Y547" s="694"/>
      <c r="Z547" s="697" t="s">
        <v>656</v>
      </c>
      <c r="AA547" s="698"/>
    </row>
    <row r="548" spans="1:27" ht="27.95" customHeight="1" x14ac:dyDescent="0.2">
      <c r="A548" s="421"/>
      <c r="B548" s="319" t="s">
        <v>925</v>
      </c>
      <c r="C548" s="124" t="s">
        <v>268</v>
      </c>
      <c r="D548" s="742"/>
      <c r="E548" s="743"/>
      <c r="F548" s="742"/>
      <c r="G548" s="743"/>
      <c r="H548" s="742"/>
      <c r="I548" s="743"/>
      <c r="J548" s="742"/>
      <c r="K548" s="743"/>
      <c r="L548" s="742"/>
      <c r="M548" s="743"/>
      <c r="N548" s="742"/>
      <c r="O548" s="743"/>
      <c r="P548" s="742"/>
      <c r="Q548" s="743"/>
      <c r="R548" s="742"/>
      <c r="S548" s="743"/>
      <c r="T548" s="69"/>
      <c r="U548" s="67">
        <f t="shared" si="71"/>
        <v>0</v>
      </c>
      <c r="V548" s="420">
        <v>10</v>
      </c>
      <c r="W548" s="82">
        <f t="shared" si="72"/>
        <v>0</v>
      </c>
      <c r="X548" s="717"/>
      <c r="Y548" s="694"/>
      <c r="Z548" s="697" t="s">
        <v>656</v>
      </c>
      <c r="AA548" s="698"/>
    </row>
    <row r="549" spans="1:27" ht="45" customHeight="1" x14ac:dyDescent="0.2">
      <c r="A549" s="421"/>
      <c r="B549" s="319" t="s">
        <v>926</v>
      </c>
      <c r="C549" s="131" t="s">
        <v>154</v>
      </c>
      <c r="D549" s="742"/>
      <c r="E549" s="743"/>
      <c r="F549" s="742"/>
      <c r="G549" s="743"/>
      <c r="H549" s="742"/>
      <c r="I549" s="743"/>
      <c r="J549" s="742"/>
      <c r="K549" s="743"/>
      <c r="L549" s="742"/>
      <c r="M549" s="743"/>
      <c r="N549" s="742"/>
      <c r="O549" s="743"/>
      <c r="P549" s="742"/>
      <c r="Q549" s="743"/>
      <c r="R549" s="742"/>
      <c r="S549" s="743"/>
      <c r="T549" s="69"/>
      <c r="U549" s="67">
        <f t="shared" si="71"/>
        <v>0</v>
      </c>
      <c r="V549" s="417">
        <v>5</v>
      </c>
      <c r="W549" s="82">
        <f t="shared" si="72"/>
        <v>0</v>
      </c>
      <c r="X549" s="717"/>
      <c r="Y549" s="694"/>
      <c r="Z549" s="697"/>
      <c r="AA549" s="698"/>
    </row>
    <row r="550" spans="1:27" ht="45" customHeight="1" x14ac:dyDescent="0.2">
      <c r="A550" s="421"/>
      <c r="B550" s="319" t="s">
        <v>282</v>
      </c>
      <c r="C550" s="131" t="s">
        <v>694</v>
      </c>
      <c r="D550" s="742"/>
      <c r="E550" s="743"/>
      <c r="F550" s="742"/>
      <c r="G550" s="743"/>
      <c r="H550" s="742"/>
      <c r="I550" s="743"/>
      <c r="J550" s="742"/>
      <c r="K550" s="743"/>
      <c r="L550" s="742"/>
      <c r="M550" s="743"/>
      <c r="N550" s="742"/>
      <c r="O550" s="743"/>
      <c r="P550" s="742"/>
      <c r="Q550" s="743"/>
      <c r="R550" s="742"/>
      <c r="S550" s="743"/>
      <c r="T550" s="69"/>
      <c r="U550" s="67">
        <f t="shared" si="71"/>
        <v>0</v>
      </c>
      <c r="V550" s="422">
        <v>10</v>
      </c>
      <c r="W550" s="82">
        <f t="shared" si="72"/>
        <v>0</v>
      </c>
      <c r="X550" s="717"/>
      <c r="Y550" s="694"/>
      <c r="Z550" s="697" t="s">
        <v>656</v>
      </c>
      <c r="AA550" s="698"/>
    </row>
    <row r="551" spans="1:27" ht="27.95" customHeight="1" x14ac:dyDescent="0.2">
      <c r="A551" s="421"/>
      <c r="B551" s="319" t="s">
        <v>818</v>
      </c>
      <c r="C551" s="131" t="s">
        <v>760</v>
      </c>
      <c r="D551" s="742"/>
      <c r="E551" s="743"/>
      <c r="F551" s="742"/>
      <c r="G551" s="743"/>
      <c r="H551" s="742"/>
      <c r="I551" s="743"/>
      <c r="J551" s="742"/>
      <c r="K551" s="743"/>
      <c r="L551" s="742"/>
      <c r="M551" s="743"/>
      <c r="N551" s="742"/>
      <c r="O551" s="743"/>
      <c r="P551" s="742"/>
      <c r="Q551" s="743"/>
      <c r="R551" s="742"/>
      <c r="S551" s="743"/>
      <c r="T551" s="72"/>
      <c r="U551" s="67">
        <f>IF(OR(D551="s",F551="s",H551="s",J551="s",L551="s",N551="s",P551="s",R551="s"), 0, IF(OR(D551="a",F551="a",H551="a",J551="a",L551="a",N551="a",P551="a",R551="a",T551="NA"),V551,0))</f>
        <v>0</v>
      </c>
      <c r="V551" s="417">
        <v>5</v>
      </c>
      <c r="W551" s="82">
        <f>COUNTIF(D551:S551,"a")+COUNTIF(D551:S551,"s")+COUNTIF(T551,"NA")</f>
        <v>0</v>
      </c>
      <c r="X551" s="717"/>
      <c r="Y551" s="694"/>
      <c r="Z551" s="697" t="s">
        <v>656</v>
      </c>
      <c r="AA551" s="698"/>
    </row>
    <row r="552" spans="1:27" ht="45" customHeight="1" x14ac:dyDescent="0.2">
      <c r="A552" s="421"/>
      <c r="B552" s="319" t="s">
        <v>51</v>
      </c>
      <c r="C552" s="131" t="s">
        <v>623</v>
      </c>
      <c r="D552" s="742"/>
      <c r="E552" s="743"/>
      <c r="F552" s="742"/>
      <c r="G552" s="743"/>
      <c r="H552" s="742"/>
      <c r="I552" s="743"/>
      <c r="J552" s="742"/>
      <c r="K552" s="743"/>
      <c r="L552" s="742"/>
      <c r="M552" s="743"/>
      <c r="N552" s="742"/>
      <c r="O552" s="743"/>
      <c r="P552" s="742"/>
      <c r="Q552" s="743"/>
      <c r="R552" s="742"/>
      <c r="S552" s="743"/>
      <c r="T552" s="79"/>
      <c r="U552" s="67">
        <f t="shared" si="71"/>
        <v>0</v>
      </c>
      <c r="V552" s="417">
        <v>10</v>
      </c>
      <c r="W552" s="82">
        <f t="shared" si="72"/>
        <v>0</v>
      </c>
      <c r="X552" s="717"/>
      <c r="Y552" s="694"/>
      <c r="Z552" s="697" t="s">
        <v>656</v>
      </c>
      <c r="AA552" s="698"/>
    </row>
    <row r="553" spans="1:27" ht="27.95" customHeight="1" x14ac:dyDescent="0.2">
      <c r="A553" s="421"/>
      <c r="B553" s="319" t="s">
        <v>855</v>
      </c>
      <c r="C553" s="131" t="s">
        <v>604</v>
      </c>
      <c r="D553" s="764"/>
      <c r="E553" s="765"/>
      <c r="F553" s="764"/>
      <c r="G553" s="765"/>
      <c r="H553" s="764"/>
      <c r="I553" s="765"/>
      <c r="J553" s="764"/>
      <c r="K553" s="765"/>
      <c r="L553" s="764"/>
      <c r="M553" s="765"/>
      <c r="N553" s="764"/>
      <c r="O553" s="765"/>
      <c r="P553" s="764"/>
      <c r="Q553" s="765"/>
      <c r="R553" s="764"/>
      <c r="S553" s="765"/>
      <c r="T553" s="79"/>
      <c r="U553" s="67">
        <f t="shared" si="71"/>
        <v>0</v>
      </c>
      <c r="V553" s="422">
        <v>10</v>
      </c>
      <c r="W553" s="82">
        <f>IF((COUNTIF(D553:S553,"a")+COUNTIF(D553:S553,"s"))&gt;0,IF(OR((COUNTIF(D554:S554,"a")+COUNTIF(D554:S554,"s"))),0,COUNTIF(D553:S553,"a")+COUNTIF(D553:S553,"s")),COUNTIF(D553:S553,"a")+COUNTIF(D553:S553,"s"))</f>
        <v>0</v>
      </c>
      <c r="X553" s="717"/>
      <c r="Y553" s="694"/>
      <c r="Z553" s="697"/>
      <c r="AA553" s="698"/>
    </row>
    <row r="554" spans="1:27" ht="27.95" customHeight="1" thickBot="1" x14ac:dyDescent="0.25">
      <c r="A554" s="421"/>
      <c r="B554" s="320" t="s">
        <v>927</v>
      </c>
      <c r="C554" s="192" t="s">
        <v>113</v>
      </c>
      <c r="D554" s="732"/>
      <c r="E554" s="733"/>
      <c r="F554" s="732"/>
      <c r="G554" s="733"/>
      <c r="H554" s="732"/>
      <c r="I554" s="733"/>
      <c r="J554" s="732"/>
      <c r="K554" s="733"/>
      <c r="L554" s="732"/>
      <c r="M554" s="733"/>
      <c r="N554" s="732"/>
      <c r="O554" s="733"/>
      <c r="P554" s="732"/>
      <c r="Q554" s="733"/>
      <c r="R554" s="732"/>
      <c r="S554" s="733"/>
      <c r="T554" s="79"/>
      <c r="U554" s="108">
        <f t="shared" si="71"/>
        <v>0</v>
      </c>
      <c r="V554" s="431">
        <v>10</v>
      </c>
      <c r="W554" s="82">
        <f>IF((COUNTIF(D554:S554,"a")+COUNTIF(D554:S554,"s"))&gt;0,IF((COUNTIF(D553:S553,"a")+COUNTIF(D553:S553,"s"))&gt;0,0,COUNTIF(D554:S554,"a")+COUNTIF(D554:S554,"s")), COUNTIF(D554:S554,"a")+COUNTIF(D554:S554,"s"))</f>
        <v>0</v>
      </c>
      <c r="X554" s="717"/>
      <c r="Y554" s="694"/>
      <c r="Z554" s="697"/>
      <c r="AA554" s="698"/>
    </row>
    <row r="555" spans="1:27" ht="21" customHeight="1" thickTop="1" thickBot="1" x14ac:dyDescent="0.25">
      <c r="A555" s="421"/>
      <c r="B555" s="347"/>
      <c r="C555" s="184"/>
      <c r="D555" s="750" t="s">
        <v>662</v>
      </c>
      <c r="E555" s="779"/>
      <c r="F555" s="779"/>
      <c r="G555" s="779"/>
      <c r="H555" s="779"/>
      <c r="I555" s="779"/>
      <c r="J555" s="779"/>
      <c r="K555" s="779"/>
      <c r="L555" s="779"/>
      <c r="M555" s="779"/>
      <c r="N555" s="779"/>
      <c r="O555" s="779"/>
      <c r="P555" s="779"/>
      <c r="Q555" s="779"/>
      <c r="R555" s="779"/>
      <c r="S555" s="779"/>
      <c r="T555" s="780"/>
      <c r="U555" s="1">
        <f>SUM(U543:U554)</f>
        <v>0</v>
      </c>
      <c r="V555" s="418">
        <v>95</v>
      </c>
      <c r="W555" s="82"/>
      <c r="X555" s="721"/>
      <c r="Y555" s="694"/>
      <c r="Z555" s="697"/>
      <c r="AA555" s="698"/>
    </row>
    <row r="556" spans="1:27" ht="21" customHeight="1" thickBot="1" x14ac:dyDescent="0.25">
      <c r="A556" s="411"/>
      <c r="B556" s="326"/>
      <c r="C556" s="463"/>
      <c r="D556" s="945"/>
      <c r="E556" s="741"/>
      <c r="F556" s="844">
        <v>65</v>
      </c>
      <c r="G556" s="746"/>
      <c r="H556" s="746"/>
      <c r="I556" s="746"/>
      <c r="J556" s="746"/>
      <c r="K556" s="746"/>
      <c r="L556" s="746"/>
      <c r="M556" s="746"/>
      <c r="N556" s="746"/>
      <c r="O556" s="746"/>
      <c r="P556" s="746"/>
      <c r="Q556" s="746"/>
      <c r="R556" s="746"/>
      <c r="S556" s="746"/>
      <c r="T556" s="746"/>
      <c r="U556" s="746"/>
      <c r="V556" s="747"/>
      <c r="W556" s="82"/>
      <c r="Z556" s="697"/>
      <c r="AA556" s="698"/>
    </row>
    <row r="557" spans="1:27" s="704" customFormat="1" ht="30" customHeight="1" thickBot="1" x14ac:dyDescent="0.25">
      <c r="A557" s="408"/>
      <c r="B557" s="316">
        <v>6300</v>
      </c>
      <c r="C557" s="254" t="s">
        <v>1740</v>
      </c>
      <c r="D557" s="257"/>
      <c r="E557" s="549"/>
      <c r="F557" s="379" t="s">
        <v>661</v>
      </c>
      <c r="G557" s="99"/>
      <c r="H557" s="550"/>
      <c r="I557" s="549"/>
      <c r="J557" s="379"/>
      <c r="K557" s="99"/>
      <c r="L557" s="550" t="s">
        <v>661</v>
      </c>
      <c r="M557" s="549"/>
      <c r="N557" s="379"/>
      <c r="O557" s="256"/>
      <c r="P557" s="257"/>
      <c r="Q557" s="255"/>
      <c r="R557" s="258"/>
      <c r="S557" s="256"/>
      <c r="T557" s="390"/>
      <c r="U557" s="654"/>
      <c r="V557" s="414"/>
      <c r="W557" s="367"/>
      <c r="X557" s="722"/>
      <c r="Y557" s="699"/>
      <c r="Z557" s="697"/>
      <c r="AA557" s="698"/>
    </row>
    <row r="558" spans="1:27" ht="27.95" customHeight="1" x14ac:dyDescent="0.2">
      <c r="A558" s="429"/>
      <c r="B558" s="324" t="s">
        <v>150</v>
      </c>
      <c r="C558" s="247" t="s">
        <v>245</v>
      </c>
      <c r="D558" s="742"/>
      <c r="E558" s="743"/>
      <c r="F558" s="742"/>
      <c r="G558" s="743"/>
      <c r="H558" s="742"/>
      <c r="I558" s="743"/>
      <c r="J558" s="742"/>
      <c r="K558" s="743"/>
      <c r="L558" s="742"/>
      <c r="M558" s="743"/>
      <c r="N558" s="742"/>
      <c r="O558" s="743"/>
      <c r="P558" s="742"/>
      <c r="Q558" s="743"/>
      <c r="R558" s="742"/>
      <c r="S558" s="743"/>
      <c r="T558" s="69"/>
      <c r="U558" s="67">
        <f t="shared" ref="U558:U563" si="73">IF(OR(D558="s",F558="s",H558="s",J558="s",L558="s",N558="s",P558="s",R558="s"), 0, IF(OR(D558="a",F558="a",H558="a",J558="a",L558="a",N558="a",P558="a",R558="a"),V558,0))</f>
        <v>0</v>
      </c>
      <c r="V558" s="420">
        <v>20</v>
      </c>
      <c r="W558" s="82">
        <f>IF((COUNTIF(D558:S558,"a")+COUNTIF(D558:S558,"s"))&gt;0,IF(OR((COUNTIF(D559:S559,"a")+COUNTIF(D559:S559,"s"))),0,COUNTIF(D558:S558,"a")+COUNTIF(D558:S558,"s")),COUNTIF(D558:S558,"a")+COUNTIF(D558:S558,"s"))</f>
        <v>0</v>
      </c>
      <c r="X558" s="720"/>
      <c r="Y558" s="699"/>
      <c r="Z558" s="697"/>
      <c r="AA558" s="698"/>
    </row>
    <row r="559" spans="1:27" ht="45" customHeight="1" x14ac:dyDescent="0.2">
      <c r="A559" s="429"/>
      <c r="B559" s="378" t="s">
        <v>143</v>
      </c>
      <c r="C559" s="250" t="s">
        <v>246</v>
      </c>
      <c r="D559" s="742"/>
      <c r="E559" s="743"/>
      <c r="F559" s="742"/>
      <c r="G559" s="743"/>
      <c r="H559" s="742"/>
      <c r="I559" s="743"/>
      <c r="J559" s="742"/>
      <c r="K559" s="743"/>
      <c r="L559" s="742"/>
      <c r="M559" s="743"/>
      <c r="N559" s="742"/>
      <c r="O559" s="743"/>
      <c r="P559" s="742"/>
      <c r="Q559" s="743"/>
      <c r="R559" s="742"/>
      <c r="S559" s="743"/>
      <c r="T559" s="69"/>
      <c r="U559" s="109">
        <f t="shared" si="73"/>
        <v>0</v>
      </c>
      <c r="V559" s="416">
        <v>10</v>
      </c>
      <c r="W559" s="82">
        <f>IF((COUNTIF(D559:S559,"a")+COUNTIF(D559:S559,"s"))&gt;0,IF(OR((COUNTIF(D558:S558,"a")+COUNTIF(D558:S558,"s"))),0,COUNTIF(D559:S559,"a")+COUNTIF(D559:S559,"s")),COUNTIF(D559:S559,"a")+COUNTIF(D559:S559,"s"))</f>
        <v>0</v>
      </c>
      <c r="X559" s="720"/>
      <c r="Y559" s="699"/>
      <c r="Z559" s="697" t="s">
        <v>656</v>
      </c>
      <c r="AA559" s="698"/>
    </row>
    <row r="560" spans="1:27" ht="45" customHeight="1" x14ac:dyDescent="0.2">
      <c r="A560" s="429"/>
      <c r="B560" s="324" t="s">
        <v>144</v>
      </c>
      <c r="C560" s="247" t="s">
        <v>145</v>
      </c>
      <c r="D560" s="742"/>
      <c r="E560" s="743"/>
      <c r="F560" s="742"/>
      <c r="G560" s="743"/>
      <c r="H560" s="742"/>
      <c r="I560" s="743"/>
      <c r="J560" s="742"/>
      <c r="K560" s="743"/>
      <c r="L560" s="742"/>
      <c r="M560" s="743"/>
      <c r="N560" s="742"/>
      <c r="O560" s="743"/>
      <c r="P560" s="742"/>
      <c r="Q560" s="743"/>
      <c r="R560" s="742"/>
      <c r="S560" s="743"/>
      <c r="T560" s="69"/>
      <c r="U560" s="67">
        <f t="shared" si="73"/>
        <v>0</v>
      </c>
      <c r="V560" s="420">
        <v>20</v>
      </c>
      <c r="W560" s="82">
        <f>COUNTIF(D560:S560,"a")+COUNTIF(D560:S560,"s")</f>
        <v>0</v>
      </c>
      <c r="X560" s="720"/>
      <c r="Y560" s="699"/>
      <c r="Z560" s="697"/>
      <c r="AA560" s="698"/>
    </row>
    <row r="561" spans="1:27" ht="27.95" customHeight="1" x14ac:dyDescent="0.2">
      <c r="A561" s="429"/>
      <c r="B561" s="313" t="s">
        <v>605</v>
      </c>
      <c r="C561" s="244" t="s">
        <v>856</v>
      </c>
      <c r="D561" s="742"/>
      <c r="E561" s="743"/>
      <c r="F561" s="742"/>
      <c r="G561" s="743"/>
      <c r="H561" s="742"/>
      <c r="I561" s="743"/>
      <c r="J561" s="742"/>
      <c r="K561" s="743"/>
      <c r="L561" s="742"/>
      <c r="M561" s="743"/>
      <c r="N561" s="742"/>
      <c r="O561" s="743"/>
      <c r="P561" s="742"/>
      <c r="Q561" s="743"/>
      <c r="R561" s="742"/>
      <c r="S561" s="743"/>
      <c r="T561" s="69"/>
      <c r="U561" s="67">
        <f t="shared" si="73"/>
        <v>0</v>
      </c>
      <c r="V561" s="416">
        <v>20</v>
      </c>
      <c r="W561" s="82">
        <f>COUNTIF(D561:S561,"a")+COUNTIF(D561:S561,"s")</f>
        <v>0</v>
      </c>
      <c r="X561" s="720"/>
      <c r="Y561" s="699"/>
      <c r="Z561" s="697" t="s">
        <v>656</v>
      </c>
      <c r="AA561" s="698"/>
    </row>
    <row r="562" spans="1:27" ht="27.95" customHeight="1" x14ac:dyDescent="0.2">
      <c r="A562" s="429"/>
      <c r="B562" s="324" t="s">
        <v>606</v>
      </c>
      <c r="C562" s="247" t="s">
        <v>247</v>
      </c>
      <c r="D562" s="742"/>
      <c r="E562" s="743"/>
      <c r="F562" s="742"/>
      <c r="G562" s="743"/>
      <c r="H562" s="742"/>
      <c r="I562" s="743"/>
      <c r="J562" s="742"/>
      <c r="K562" s="743"/>
      <c r="L562" s="742"/>
      <c r="M562" s="743"/>
      <c r="N562" s="742"/>
      <c r="O562" s="743"/>
      <c r="P562" s="742"/>
      <c r="Q562" s="743"/>
      <c r="R562" s="742"/>
      <c r="S562" s="743"/>
      <c r="T562" s="69"/>
      <c r="U562" s="67">
        <f t="shared" si="73"/>
        <v>0</v>
      </c>
      <c r="V562" s="420">
        <v>5</v>
      </c>
      <c r="W562" s="82">
        <f>COUNTIF(D562:S562,"a")+COUNTIF(D562:S562,"s")</f>
        <v>0</v>
      </c>
      <c r="X562" s="720"/>
      <c r="Y562" s="699"/>
      <c r="Z562" s="697" t="s">
        <v>656</v>
      </c>
      <c r="AA562" s="698"/>
    </row>
    <row r="563" spans="1:27" ht="27.95" customHeight="1" thickBot="1" x14ac:dyDescent="0.25">
      <c r="A563" s="429"/>
      <c r="B563" s="313" t="s">
        <v>1077</v>
      </c>
      <c r="C563" s="244" t="s">
        <v>651</v>
      </c>
      <c r="D563" s="742"/>
      <c r="E563" s="743"/>
      <c r="F563" s="742"/>
      <c r="G563" s="743"/>
      <c r="H563" s="742"/>
      <c r="I563" s="743"/>
      <c r="J563" s="742"/>
      <c r="K563" s="743"/>
      <c r="L563" s="742"/>
      <c r="M563" s="743"/>
      <c r="N563" s="742"/>
      <c r="O563" s="743"/>
      <c r="P563" s="742"/>
      <c r="Q563" s="743"/>
      <c r="R563" s="742"/>
      <c r="S563" s="743"/>
      <c r="T563" s="69"/>
      <c r="U563" s="67">
        <f t="shared" si="73"/>
        <v>0</v>
      </c>
      <c r="V563" s="416">
        <v>5</v>
      </c>
      <c r="W563" s="82">
        <f>COUNTIF(D563:S563,"a")+COUNTIF(D563:S563,"s")</f>
        <v>0</v>
      </c>
      <c r="X563" s="720"/>
      <c r="Y563" s="699"/>
      <c r="Z563" s="697" t="s">
        <v>656</v>
      </c>
      <c r="AA563" s="698"/>
    </row>
    <row r="564" spans="1:27" s="704" customFormat="1" ht="21.6" customHeight="1" thickTop="1" thickBot="1" x14ac:dyDescent="0.25">
      <c r="A564" s="421"/>
      <c r="B564" s="80"/>
      <c r="C564" s="173"/>
      <c r="D564" s="750" t="s">
        <v>662</v>
      </c>
      <c r="E564" s="779"/>
      <c r="F564" s="779"/>
      <c r="G564" s="779"/>
      <c r="H564" s="779"/>
      <c r="I564" s="779"/>
      <c r="J564" s="779"/>
      <c r="K564" s="779"/>
      <c r="L564" s="779"/>
      <c r="M564" s="779"/>
      <c r="N564" s="779"/>
      <c r="O564" s="779"/>
      <c r="P564" s="779"/>
      <c r="Q564" s="779"/>
      <c r="R564" s="779"/>
      <c r="S564" s="779"/>
      <c r="T564" s="780"/>
      <c r="U564" s="1">
        <f>SUM(U558:U563)</f>
        <v>0</v>
      </c>
      <c r="V564" s="418">
        <f>SUM(V558,V560:V563)</f>
        <v>70</v>
      </c>
      <c r="W564" s="367"/>
      <c r="X564" s="724"/>
      <c r="Y564" s="706"/>
      <c r="Z564" s="697"/>
      <c r="AA564" s="698"/>
    </row>
    <row r="565" spans="1:27" s="704" customFormat="1" ht="21.6" customHeight="1" thickBot="1" x14ac:dyDescent="0.25">
      <c r="A565" s="411"/>
      <c r="B565" s="115"/>
      <c r="C565" s="380"/>
      <c r="D565" s="740"/>
      <c r="E565" s="960"/>
      <c r="F565" s="964">
        <v>40</v>
      </c>
      <c r="G565" s="746"/>
      <c r="H565" s="746"/>
      <c r="I565" s="746"/>
      <c r="J565" s="746"/>
      <c r="K565" s="746"/>
      <c r="L565" s="746"/>
      <c r="M565" s="746"/>
      <c r="N565" s="746"/>
      <c r="O565" s="746"/>
      <c r="P565" s="746"/>
      <c r="Q565" s="746"/>
      <c r="R565" s="746"/>
      <c r="S565" s="746"/>
      <c r="T565" s="746"/>
      <c r="U565" s="746"/>
      <c r="V565" s="747"/>
      <c r="W565" s="367"/>
      <c r="X565" s="722"/>
      <c r="Y565" s="699"/>
      <c r="Z565" s="697"/>
      <c r="AA565" s="698"/>
    </row>
    <row r="566" spans="1:27" ht="30" customHeight="1" thickBot="1" x14ac:dyDescent="0.25">
      <c r="A566" s="408"/>
      <c r="B566" s="316">
        <v>6400</v>
      </c>
      <c r="C566" s="254" t="s">
        <v>816</v>
      </c>
      <c r="D566" s="550" t="s">
        <v>661</v>
      </c>
      <c r="E566" s="549"/>
      <c r="F566" s="379" t="s">
        <v>661</v>
      </c>
      <c r="G566" s="99"/>
      <c r="H566" s="550"/>
      <c r="I566" s="549"/>
      <c r="J566" s="379"/>
      <c r="K566" s="99"/>
      <c r="L566" s="550" t="s">
        <v>661</v>
      </c>
      <c r="M566" s="549"/>
      <c r="N566" s="379"/>
      <c r="O566" s="99"/>
      <c r="P566" s="550"/>
      <c r="Q566" s="549"/>
      <c r="R566" s="379"/>
      <c r="S566" s="549"/>
      <c r="T566" s="557"/>
      <c r="U566" s="266"/>
      <c r="V566" s="428"/>
      <c r="W566" s="82"/>
      <c r="Y566" s="694"/>
      <c r="Z566" s="697"/>
      <c r="AA566" s="698"/>
    </row>
    <row r="567" spans="1:27" ht="45" customHeight="1" x14ac:dyDescent="0.2">
      <c r="A567" s="421"/>
      <c r="B567" s="310" t="s">
        <v>928</v>
      </c>
      <c r="C567" s="289" t="s">
        <v>1322</v>
      </c>
      <c r="D567" s="748"/>
      <c r="E567" s="749"/>
      <c r="F567" s="748"/>
      <c r="G567" s="749"/>
      <c r="H567" s="748"/>
      <c r="I567" s="749"/>
      <c r="J567" s="748"/>
      <c r="K567" s="749"/>
      <c r="L567" s="748"/>
      <c r="M567" s="749"/>
      <c r="N567" s="748"/>
      <c r="O567" s="749"/>
      <c r="P567" s="748"/>
      <c r="Q567" s="749"/>
      <c r="R567" s="748"/>
      <c r="S567" s="749"/>
      <c r="T567" s="80"/>
      <c r="U567" s="70">
        <f>IF(OR(D567="s",F567="s",H567="s",J567="s",L567="s",N567="s",P567="s",R567="s"), 0, IF(OR(D567="a",F567="a",H567="a",J567="a",L567="a",N567="a",P567="a",R567="a"),V567,0))</f>
        <v>0</v>
      </c>
      <c r="V567" s="420">
        <v>25</v>
      </c>
      <c r="W567" s="82">
        <f>IF((COUNTIF(D567:S567,"a")+COUNTIF(D567:S567,"s"))&gt;0,IF(OR((COUNTIF(D570:S570,"a")+COUNTIF(D570:S570,"s"))),0,COUNTIF(D567:S567,"a")+COUNTIF(D567:S567,"s")),COUNTIF(D567:S567,"a")+COUNTIF(D567:S567,"s"))</f>
        <v>0</v>
      </c>
      <c r="X567" s="720"/>
      <c r="Y567" s="706"/>
      <c r="Z567" s="697" t="s">
        <v>656</v>
      </c>
      <c r="AA567" s="698"/>
    </row>
    <row r="568" spans="1:27" ht="45" customHeight="1" x14ac:dyDescent="0.2">
      <c r="A568" s="421"/>
      <c r="B568" s="319" t="s">
        <v>929</v>
      </c>
      <c r="C568" s="131" t="s">
        <v>1323</v>
      </c>
      <c r="D568" s="742"/>
      <c r="E568" s="743"/>
      <c r="F568" s="742"/>
      <c r="G568" s="743"/>
      <c r="H568" s="742"/>
      <c r="I568" s="743"/>
      <c r="J568" s="742"/>
      <c r="K568" s="743"/>
      <c r="L568" s="742"/>
      <c r="M568" s="743"/>
      <c r="N568" s="742"/>
      <c r="O568" s="743"/>
      <c r="P568" s="742"/>
      <c r="Q568" s="743"/>
      <c r="R568" s="742"/>
      <c r="S568" s="743"/>
      <c r="T568" s="80"/>
      <c r="U568" s="67">
        <f t="shared" ref="U568:U574" si="74">IF(OR(D568="s",F568="s",H568="s",J568="s",L568="s",N568="s",P568="s",R568="s"), 0, IF(OR(D568="a",F568="a",H568="a",J568="a",L568="a",N568="a",P568="a",R568="a"),V568,0))</f>
        <v>0</v>
      </c>
      <c r="V568" s="417">
        <v>20</v>
      </c>
      <c r="W568" s="82">
        <f>IF((COUNTIF(D568:S568,"a")+COUNTIF(D568:S568,"s"))&gt;0,IF(OR((COUNTIF(D570:S570,"a")+COUNTIF(D570:S570,"s"))),0,COUNTIF(D568:S568,"a")+COUNTIF(D568:S568,"s")),COUNTIF(D568:S568,"a")+COUNTIF(D568:S568,"s"))</f>
        <v>0</v>
      </c>
      <c r="X568" s="717"/>
      <c r="Z568" s="697"/>
      <c r="AA568" s="698"/>
    </row>
    <row r="569" spans="1:27" ht="45" customHeight="1" x14ac:dyDescent="0.2">
      <c r="A569" s="421"/>
      <c r="B569" s="319" t="s">
        <v>930</v>
      </c>
      <c r="C569" s="131" t="s">
        <v>1750</v>
      </c>
      <c r="D569" s="742"/>
      <c r="E569" s="743"/>
      <c r="F569" s="742"/>
      <c r="G569" s="743"/>
      <c r="H569" s="742"/>
      <c r="I569" s="743"/>
      <c r="J569" s="742"/>
      <c r="K569" s="743"/>
      <c r="L569" s="742"/>
      <c r="M569" s="743"/>
      <c r="N569" s="742"/>
      <c r="O569" s="743"/>
      <c r="P569" s="742"/>
      <c r="Q569" s="743"/>
      <c r="R569" s="742"/>
      <c r="S569" s="743"/>
      <c r="T569" s="80"/>
      <c r="U569" s="67">
        <f t="shared" si="74"/>
        <v>0</v>
      </c>
      <c r="V569" s="417">
        <v>20</v>
      </c>
      <c r="W569" s="82">
        <f>IF((COUNTIF(D569:S569,"a")+COUNTIF(D569:S569,"s"))&gt;0,IF(OR((COUNTIF(D570:S570,"a")+COUNTIF(D570:S570,"s"))),0,COUNTIF(D569:S569,"a")+COUNTIF(D569:S569,"s")),COUNTIF(D569:S569,"a")+COUNTIF(D569:S569,"s"))</f>
        <v>0</v>
      </c>
      <c r="X569" s="717"/>
      <c r="Z569" s="697"/>
      <c r="AA569" s="698"/>
    </row>
    <row r="570" spans="1:27" ht="45" customHeight="1" x14ac:dyDescent="0.2">
      <c r="A570" s="421"/>
      <c r="B570" s="320" t="s">
        <v>421</v>
      </c>
      <c r="C570" s="292" t="s">
        <v>1324</v>
      </c>
      <c r="D570" s="742"/>
      <c r="E570" s="743"/>
      <c r="F570" s="742"/>
      <c r="G570" s="743"/>
      <c r="H570" s="742"/>
      <c r="I570" s="743"/>
      <c r="J570" s="742"/>
      <c r="K570" s="743"/>
      <c r="L570" s="742"/>
      <c r="M570" s="743"/>
      <c r="N570" s="742"/>
      <c r="O570" s="743"/>
      <c r="P570" s="742"/>
      <c r="Q570" s="743"/>
      <c r="R570" s="742"/>
      <c r="S570" s="743"/>
      <c r="T570" s="80"/>
      <c r="U570" s="109">
        <f>IF(OR(D570="s",F570="s",H570="s",J570="s",L570="s",N570="s",P570="s",R570="s"), 0, IF(OR(D570="a",F570="a",H570="a",J570="a",L570="a",N570="a",P570="a",R570="a"),V570,0))</f>
        <v>0</v>
      </c>
      <c r="V570" s="420">
        <v>25</v>
      </c>
      <c r="W570" s="82">
        <f>IF((COUNTIF(D570:S570,"a")+COUNTIF(D570:S570,"s"))&gt;0,IF(OR((COUNTIF(D569:S569,"a")+COUNTIF(D569:S569,"s")),(COUNTIF(D567:S567,"a")+COUNTIF(D567:S567,"s")),(COUNTIF(D568:S568,"a")+COUNTIF(D568:S568,"s"))),0,COUNTIF(D570:S570,"a")+COUNTIF(D570:S570,"s")),COUNTIF(D570:S570,"a")+COUNTIF(D570:S570,"s"))</f>
        <v>0</v>
      </c>
      <c r="X570" s="720"/>
      <c r="Y570" s="706"/>
      <c r="Z570" s="697"/>
      <c r="AA570" s="698"/>
    </row>
    <row r="571" spans="1:27" ht="45" customHeight="1" x14ac:dyDescent="0.2">
      <c r="A571" s="421"/>
      <c r="B571" s="319" t="s">
        <v>931</v>
      </c>
      <c r="C571" s="131" t="s">
        <v>149</v>
      </c>
      <c r="D571" s="742"/>
      <c r="E571" s="743"/>
      <c r="F571" s="742"/>
      <c r="G571" s="743"/>
      <c r="H571" s="742"/>
      <c r="I571" s="743"/>
      <c r="J571" s="742"/>
      <c r="K571" s="743"/>
      <c r="L571" s="742"/>
      <c r="M571" s="743"/>
      <c r="N571" s="742"/>
      <c r="O571" s="743"/>
      <c r="P571" s="742"/>
      <c r="Q571" s="743"/>
      <c r="R571" s="742"/>
      <c r="S571" s="743"/>
      <c r="T571" s="81"/>
      <c r="U571" s="67">
        <f t="shared" si="74"/>
        <v>0</v>
      </c>
      <c r="V571" s="417">
        <v>10</v>
      </c>
      <c r="W571" s="82">
        <f>COUNTIF(D571:S571,"a")+COUNTIF(D571:S571,"s")</f>
        <v>0</v>
      </c>
      <c r="X571" s="717"/>
      <c r="Y571" s="694"/>
      <c r="Z571" s="697" t="s">
        <v>656</v>
      </c>
      <c r="AA571" s="698"/>
    </row>
    <row r="572" spans="1:27" ht="27.95" customHeight="1" x14ac:dyDescent="0.2">
      <c r="A572" s="421"/>
      <c r="B572" s="319" t="s">
        <v>932</v>
      </c>
      <c r="C572" s="131" t="s">
        <v>1155</v>
      </c>
      <c r="D572" s="742"/>
      <c r="E572" s="743"/>
      <c r="F572" s="742"/>
      <c r="G572" s="743"/>
      <c r="H572" s="742"/>
      <c r="I572" s="743"/>
      <c r="J572" s="742"/>
      <c r="K572" s="743"/>
      <c r="L572" s="742"/>
      <c r="M572" s="743"/>
      <c r="N572" s="742"/>
      <c r="O572" s="743"/>
      <c r="P572" s="742"/>
      <c r="Q572" s="743"/>
      <c r="R572" s="742"/>
      <c r="S572" s="743"/>
      <c r="T572" s="81"/>
      <c r="U572" s="67">
        <f t="shared" si="74"/>
        <v>0</v>
      </c>
      <c r="V572" s="417">
        <v>10</v>
      </c>
      <c r="W572" s="82">
        <f>COUNTIF(D572:S572,"a")+COUNTIF(D572:S572,"s")</f>
        <v>0</v>
      </c>
      <c r="X572" s="717"/>
      <c r="Z572" s="697" t="s">
        <v>656</v>
      </c>
      <c r="AA572" s="698"/>
    </row>
    <row r="573" spans="1:27" ht="27.95" customHeight="1" x14ac:dyDescent="0.2">
      <c r="A573" s="421"/>
      <c r="B573" s="319" t="s">
        <v>933</v>
      </c>
      <c r="C573" s="131" t="s">
        <v>857</v>
      </c>
      <c r="D573" s="742"/>
      <c r="E573" s="743"/>
      <c r="F573" s="742"/>
      <c r="G573" s="743"/>
      <c r="H573" s="742"/>
      <c r="I573" s="743"/>
      <c r="J573" s="742"/>
      <c r="K573" s="743"/>
      <c r="L573" s="742"/>
      <c r="M573" s="743"/>
      <c r="N573" s="742"/>
      <c r="O573" s="743"/>
      <c r="P573" s="742"/>
      <c r="Q573" s="743"/>
      <c r="R573" s="742"/>
      <c r="S573" s="743"/>
      <c r="T573" s="81"/>
      <c r="U573" s="67">
        <f t="shared" si="74"/>
        <v>0</v>
      </c>
      <c r="V573" s="422">
        <v>20</v>
      </c>
      <c r="W573" s="82">
        <f>COUNTIF(D573:S573,"a")+COUNTIF(D573:S573,"s")</f>
        <v>0</v>
      </c>
      <c r="X573" s="717"/>
      <c r="Z573" s="697" t="s">
        <v>656</v>
      </c>
      <c r="AA573" s="698"/>
    </row>
    <row r="574" spans="1:27" ht="27.95" customHeight="1" thickBot="1" x14ac:dyDescent="0.25">
      <c r="A574" s="421"/>
      <c r="B574" s="319" t="s">
        <v>934</v>
      </c>
      <c r="C574" s="131" t="s">
        <v>1402</v>
      </c>
      <c r="D574" s="751"/>
      <c r="E574" s="752"/>
      <c r="F574" s="751"/>
      <c r="G574" s="752"/>
      <c r="H574" s="751"/>
      <c r="I574" s="752"/>
      <c r="J574" s="751"/>
      <c r="K574" s="752"/>
      <c r="L574" s="751"/>
      <c r="M574" s="752"/>
      <c r="N574" s="751"/>
      <c r="O574" s="752"/>
      <c r="P574" s="751"/>
      <c r="Q574" s="752"/>
      <c r="R574" s="751"/>
      <c r="S574" s="752"/>
      <c r="T574" s="81"/>
      <c r="U574" s="71">
        <f t="shared" si="74"/>
        <v>0</v>
      </c>
      <c r="V574" s="422">
        <v>15</v>
      </c>
      <c r="W574" s="82">
        <f>COUNTIF(D574:S574,"a")+COUNTIF(D574:S574,"s")</f>
        <v>0</v>
      </c>
      <c r="X574" s="720"/>
      <c r="Y574" s="706"/>
      <c r="Z574" s="697"/>
      <c r="AA574" s="698"/>
    </row>
    <row r="575" spans="1:27" ht="21" customHeight="1" thickTop="1" thickBot="1" x14ac:dyDescent="0.25">
      <c r="A575" s="421"/>
      <c r="B575" s="80"/>
      <c r="C575" s="131"/>
      <c r="D575" s="750" t="s">
        <v>662</v>
      </c>
      <c r="E575" s="779"/>
      <c r="F575" s="779"/>
      <c r="G575" s="779"/>
      <c r="H575" s="779"/>
      <c r="I575" s="779"/>
      <c r="J575" s="779"/>
      <c r="K575" s="779"/>
      <c r="L575" s="779"/>
      <c r="M575" s="779"/>
      <c r="N575" s="779"/>
      <c r="O575" s="779"/>
      <c r="P575" s="779"/>
      <c r="Q575" s="779"/>
      <c r="R575" s="779"/>
      <c r="S575" s="779"/>
      <c r="T575" s="780"/>
      <c r="U575" s="1">
        <f>SUM(U567:U574)</f>
        <v>0</v>
      </c>
      <c r="V575" s="418">
        <f>SUM(V567:V569,V571:V574)</f>
        <v>120</v>
      </c>
      <c r="W575" s="82"/>
      <c r="X575" s="722"/>
      <c r="Y575" s="706"/>
      <c r="Z575" s="697"/>
      <c r="AA575" s="698"/>
    </row>
    <row r="576" spans="1:27" ht="21" customHeight="1" thickBot="1" x14ac:dyDescent="0.25">
      <c r="A576" s="421"/>
      <c r="B576" s="116"/>
      <c r="C576" s="127"/>
      <c r="D576" s="740"/>
      <c r="E576" s="960"/>
      <c r="F576" s="963">
        <v>60</v>
      </c>
      <c r="G576" s="746"/>
      <c r="H576" s="746"/>
      <c r="I576" s="746"/>
      <c r="J576" s="746"/>
      <c r="K576" s="746"/>
      <c r="L576" s="746"/>
      <c r="M576" s="746"/>
      <c r="N576" s="746"/>
      <c r="O576" s="746"/>
      <c r="P576" s="746"/>
      <c r="Q576" s="746"/>
      <c r="R576" s="746"/>
      <c r="S576" s="746"/>
      <c r="T576" s="746"/>
      <c r="U576" s="746"/>
      <c r="V576" s="747"/>
      <c r="W576" s="82"/>
      <c r="X576" s="722"/>
      <c r="Y576" s="699"/>
      <c r="Z576" s="697"/>
      <c r="AA576" s="698"/>
    </row>
    <row r="577" spans="1:27" ht="30" customHeight="1" thickBot="1" x14ac:dyDescent="0.25">
      <c r="A577" s="421"/>
      <c r="B577" s="322">
        <v>6500</v>
      </c>
      <c r="C577" s="264" t="s">
        <v>32</v>
      </c>
      <c r="D577" s="26" t="s">
        <v>661</v>
      </c>
      <c r="E577" s="35"/>
      <c r="F577" s="36" t="s">
        <v>661</v>
      </c>
      <c r="G577" s="37"/>
      <c r="H577" s="26"/>
      <c r="I577" s="35"/>
      <c r="J577" s="25"/>
      <c r="K577" s="37"/>
      <c r="L577" s="26" t="s">
        <v>661</v>
      </c>
      <c r="M577" s="35"/>
      <c r="N577" s="36"/>
      <c r="O577" s="37"/>
      <c r="P577" s="27"/>
      <c r="Q577" s="29"/>
      <c r="R577" s="27"/>
      <c r="S577" s="29"/>
      <c r="T577" s="32"/>
      <c r="U577" s="33"/>
      <c r="V577" s="419"/>
      <c r="W577" s="82"/>
      <c r="Z577" s="697"/>
      <c r="AA577" s="698"/>
    </row>
    <row r="578" spans="1:27" ht="27.95" customHeight="1" x14ac:dyDescent="0.2">
      <c r="A578" s="421"/>
      <c r="B578" s="310" t="s">
        <v>1124</v>
      </c>
      <c r="C578" s="272" t="s">
        <v>126</v>
      </c>
      <c r="D578" s="748"/>
      <c r="E578" s="749"/>
      <c r="F578" s="748"/>
      <c r="G578" s="749"/>
      <c r="H578" s="748"/>
      <c r="I578" s="749"/>
      <c r="J578" s="748"/>
      <c r="K578" s="749"/>
      <c r="L578" s="748"/>
      <c r="M578" s="749"/>
      <c r="N578" s="748"/>
      <c r="O578" s="749"/>
      <c r="P578" s="748"/>
      <c r="Q578" s="749"/>
      <c r="R578" s="748"/>
      <c r="S578" s="749"/>
      <c r="T578" s="76"/>
      <c r="U578" s="70">
        <f>IF(OR(D578="s",F578="s",H578="s",J578="s",L578="s",N578="s",P578="s",R578="s"), 0, IF(OR(D578="a",F578="a",H578="a",J578="a",L578="a",N578="a",P578="a",R578="a"),V578,0))</f>
        <v>0</v>
      </c>
      <c r="V578" s="420">
        <v>10</v>
      </c>
      <c r="W578" s="82">
        <f>COUNTIF(D578:S578,"a")+COUNTIF(D578:S578,"s")</f>
        <v>0</v>
      </c>
      <c r="X578" s="717"/>
      <c r="Y578" s="694"/>
      <c r="Z578" s="697" t="s">
        <v>656</v>
      </c>
      <c r="AA578" s="698"/>
    </row>
    <row r="579" spans="1:27" ht="27.95" customHeight="1" x14ac:dyDescent="0.2">
      <c r="A579" s="421"/>
      <c r="B579" s="319" t="s">
        <v>127</v>
      </c>
      <c r="C579" s="259" t="s">
        <v>1081</v>
      </c>
      <c r="D579" s="742"/>
      <c r="E579" s="743"/>
      <c r="F579" s="742"/>
      <c r="G579" s="743"/>
      <c r="H579" s="742"/>
      <c r="I579" s="743"/>
      <c r="J579" s="742"/>
      <c r="K579" s="743"/>
      <c r="L579" s="742"/>
      <c r="M579" s="743"/>
      <c r="N579" s="742"/>
      <c r="O579" s="743"/>
      <c r="P579" s="742"/>
      <c r="Q579" s="743"/>
      <c r="R579" s="742"/>
      <c r="S579" s="743"/>
      <c r="T579" s="76"/>
      <c r="U579" s="67">
        <f>IF(OR(D579="s",F579="s",H579="s",J579="s",L579="s",N579="s",P579="s",R579="s"), 0, IF(OR(D579="a",F579="a",H579="a",J579="a",L579="a",N579="a",P579="a",R579="a"),V579,0))</f>
        <v>0</v>
      </c>
      <c r="V579" s="417">
        <v>10</v>
      </c>
      <c r="W579" s="82">
        <f>COUNTIF(D579:S579,"a")+COUNTIF(D579:S579,"s")</f>
        <v>0</v>
      </c>
      <c r="X579" s="717"/>
      <c r="Y579" s="694"/>
      <c r="Z579" s="697" t="s">
        <v>656</v>
      </c>
      <c r="AA579" s="698"/>
    </row>
    <row r="580" spans="1:27" ht="27.95" customHeight="1" x14ac:dyDescent="0.2">
      <c r="A580" s="421"/>
      <c r="B580" s="319" t="s">
        <v>1082</v>
      </c>
      <c r="C580" s="259" t="s">
        <v>518</v>
      </c>
      <c r="D580" s="742"/>
      <c r="E580" s="743"/>
      <c r="F580" s="742"/>
      <c r="G580" s="743"/>
      <c r="H580" s="742"/>
      <c r="I580" s="743"/>
      <c r="J580" s="742"/>
      <c r="K580" s="743"/>
      <c r="L580" s="742"/>
      <c r="M580" s="743"/>
      <c r="N580" s="742"/>
      <c r="O580" s="743"/>
      <c r="P580" s="742"/>
      <c r="Q580" s="743"/>
      <c r="R580" s="742"/>
      <c r="S580" s="743"/>
      <c r="T580" s="76"/>
      <c r="U580" s="67">
        <f>IF(OR(D580="s",F580="s",H580="s",J580="s",L580="s",N580="s",P580="s",R580="s"), 0, IF(OR(D580="a",F580="a",H580="a",J580="a",L580="a",N580="a",P580="a",R580="a"),V580,0))</f>
        <v>0</v>
      </c>
      <c r="V580" s="417">
        <v>10</v>
      </c>
      <c r="W580" s="82">
        <f>COUNTIF(D580:S580,"a")+COUNTIF(D580:S580,"s")</f>
        <v>0</v>
      </c>
      <c r="X580" s="717"/>
      <c r="Y580" s="694"/>
      <c r="Z580" s="697" t="s">
        <v>656</v>
      </c>
      <c r="AA580" s="698"/>
    </row>
    <row r="581" spans="1:27" ht="27.95" customHeight="1" thickBot="1" x14ac:dyDescent="0.25">
      <c r="A581" s="421"/>
      <c r="B581" s="319" t="s">
        <v>519</v>
      </c>
      <c r="C581" s="259" t="s">
        <v>242</v>
      </c>
      <c r="D581" s="751"/>
      <c r="E581" s="752"/>
      <c r="F581" s="751"/>
      <c r="G581" s="752"/>
      <c r="H581" s="751"/>
      <c r="I581" s="752"/>
      <c r="J581" s="751"/>
      <c r="K581" s="752"/>
      <c r="L581" s="751"/>
      <c r="M581" s="752"/>
      <c r="N581" s="751"/>
      <c r="O581" s="752"/>
      <c r="P581" s="751"/>
      <c r="Q581" s="752"/>
      <c r="R581" s="751"/>
      <c r="S581" s="752"/>
      <c r="T581" s="76"/>
      <c r="U581" s="71">
        <f>IF(OR(D581="s",F581="s",H581="s",J581="s",L581="s",N581="s",P581="s",R581="s"), 0, IF(OR(D581="a",F581="a",H581="a",J581="a",L581="a",N581="a",P581="a",R581="a"),V581,0))</f>
        <v>0</v>
      </c>
      <c r="V581" s="417">
        <v>10</v>
      </c>
      <c r="W581" s="82">
        <f>COUNTIF(D581:S581,"a")+COUNTIF(D581:S581,"s")</f>
        <v>0</v>
      </c>
      <c r="X581" s="717"/>
      <c r="Z581" s="697" t="s">
        <v>656</v>
      </c>
      <c r="AA581" s="698"/>
    </row>
    <row r="582" spans="1:27" ht="21" customHeight="1" thickTop="1" thickBot="1" x14ac:dyDescent="0.25">
      <c r="A582" s="421"/>
      <c r="B582" s="185"/>
      <c r="C582" s="164"/>
      <c r="D582" s="750" t="s">
        <v>662</v>
      </c>
      <c r="E582" s="779"/>
      <c r="F582" s="779"/>
      <c r="G582" s="779"/>
      <c r="H582" s="779"/>
      <c r="I582" s="779"/>
      <c r="J582" s="779"/>
      <c r="K582" s="779"/>
      <c r="L582" s="779"/>
      <c r="M582" s="779"/>
      <c r="N582" s="779"/>
      <c r="O582" s="779"/>
      <c r="P582" s="779"/>
      <c r="Q582" s="779"/>
      <c r="R582" s="779"/>
      <c r="S582" s="779"/>
      <c r="T582" s="780"/>
      <c r="U582" s="1">
        <f>SUM(U578:U581)</f>
        <v>0</v>
      </c>
      <c r="V582" s="418">
        <f>SUM(V578:V581)</f>
        <v>40</v>
      </c>
      <c r="W582" s="82"/>
      <c r="X582" s="721"/>
      <c r="Z582" s="697"/>
      <c r="AA582" s="698"/>
    </row>
    <row r="583" spans="1:27" ht="21" customHeight="1" thickBot="1" x14ac:dyDescent="0.25">
      <c r="A583" s="411"/>
      <c r="B583" s="629"/>
      <c r="C583" s="190"/>
      <c r="D583" s="740"/>
      <c r="E583" s="960"/>
      <c r="F583" s="1028">
        <v>40</v>
      </c>
      <c r="G583" s="746"/>
      <c r="H583" s="746"/>
      <c r="I583" s="746"/>
      <c r="J583" s="746"/>
      <c r="K583" s="746"/>
      <c r="L583" s="746"/>
      <c r="M583" s="746"/>
      <c r="N583" s="746"/>
      <c r="O583" s="746"/>
      <c r="P583" s="746"/>
      <c r="Q583" s="746"/>
      <c r="R583" s="746"/>
      <c r="S583" s="746"/>
      <c r="T583" s="746"/>
      <c r="U583" s="746"/>
      <c r="V583" s="747"/>
      <c r="W583" s="82"/>
      <c r="Y583" s="694"/>
      <c r="Z583" s="697"/>
      <c r="AA583" s="698"/>
    </row>
    <row r="584" spans="1:27" ht="33" customHeight="1" thickBot="1" x14ac:dyDescent="0.25">
      <c r="A584" s="531"/>
      <c r="B584" s="345">
        <v>7000</v>
      </c>
      <c r="C584" s="1000" t="s">
        <v>743</v>
      </c>
      <c r="D584" s="956"/>
      <c r="E584" s="956"/>
      <c r="F584" s="956"/>
      <c r="G584" s="956"/>
      <c r="H584" s="956"/>
      <c r="I584" s="956"/>
      <c r="J584" s="956"/>
      <c r="K584" s="956"/>
      <c r="L584" s="956"/>
      <c r="M584" s="956"/>
      <c r="N584" s="956"/>
      <c r="O584" s="956"/>
      <c r="P584" s="956"/>
      <c r="Q584" s="956"/>
      <c r="R584" s="956"/>
      <c r="S584" s="956"/>
      <c r="T584" s="956"/>
      <c r="U584" s="956"/>
      <c r="V584" s="957"/>
      <c r="W584" s="82"/>
      <c r="Y584" s="694"/>
      <c r="Z584" s="697"/>
      <c r="AA584" s="698"/>
    </row>
    <row r="585" spans="1:27" ht="30" customHeight="1" thickBot="1" x14ac:dyDescent="0.25">
      <c r="A585" s="421"/>
      <c r="B585" s="316" t="s">
        <v>1234</v>
      </c>
      <c r="C585" s="514" t="s">
        <v>1238</v>
      </c>
      <c r="D585" s="26" t="s">
        <v>661</v>
      </c>
      <c r="E585" s="52"/>
      <c r="F585" s="53"/>
      <c r="G585" s="54"/>
      <c r="H585" s="55"/>
      <c r="I585" s="52"/>
      <c r="J585" s="53"/>
      <c r="K585" s="54"/>
      <c r="L585" s="26" t="s">
        <v>661</v>
      </c>
      <c r="M585" s="549"/>
      <c r="N585" s="379"/>
      <c r="O585" s="464"/>
      <c r="P585" s="371"/>
      <c r="Q585" s="370"/>
      <c r="R585" s="465"/>
      <c r="S585" s="464"/>
      <c r="T585" s="372"/>
      <c r="U585" s="373"/>
      <c r="V585" s="373"/>
      <c r="W585" s="82"/>
      <c r="Y585" s="694"/>
      <c r="Z585" s="697"/>
      <c r="AA585" s="698"/>
    </row>
    <row r="586" spans="1:27" ht="27.95" customHeight="1" x14ac:dyDescent="0.2">
      <c r="A586" s="421"/>
      <c r="B586" s="310" t="s">
        <v>745</v>
      </c>
      <c r="C586" s="124" t="s">
        <v>1244</v>
      </c>
      <c r="D586" s="742"/>
      <c r="E586" s="743"/>
      <c r="F586" s="742"/>
      <c r="G586" s="743"/>
      <c r="H586" s="742"/>
      <c r="I586" s="743"/>
      <c r="J586" s="742"/>
      <c r="K586" s="743"/>
      <c r="L586" s="742"/>
      <c r="M586" s="743"/>
      <c r="N586" s="742"/>
      <c r="O586" s="743"/>
      <c r="P586" s="742"/>
      <c r="Q586" s="743"/>
      <c r="R586" s="742"/>
      <c r="S586" s="743"/>
      <c r="T586" s="76"/>
      <c r="U586" s="70">
        <f t="shared" ref="U586:U591" si="75">IF(OR(D586="s",F586="s",H586="s",J586="s",L586="s",N586="s",P586="s",R586="s"), 0, IF(OR(D586="a",F586="a",H586="a",J586="a",L586="a",N586="a",P586="a",R586="a"),V586,0))</f>
        <v>0</v>
      </c>
      <c r="V586" s="420">
        <v>10</v>
      </c>
      <c r="W586" s="82">
        <f t="shared" ref="W586:W591" si="76">COUNTIF(D586:S586,"a")+COUNTIF(D586:S586,"s")</f>
        <v>0</v>
      </c>
      <c r="X586" s="717"/>
      <c r="Y586" s="694"/>
      <c r="Z586" s="697"/>
      <c r="AA586" s="698"/>
    </row>
    <row r="587" spans="1:27" ht="27.95" customHeight="1" x14ac:dyDescent="0.2">
      <c r="A587" s="421"/>
      <c r="B587" s="319" t="s">
        <v>1235</v>
      </c>
      <c r="C587" s="131" t="s">
        <v>1245</v>
      </c>
      <c r="D587" s="742"/>
      <c r="E587" s="743"/>
      <c r="F587" s="742"/>
      <c r="G587" s="743"/>
      <c r="H587" s="742"/>
      <c r="I587" s="743"/>
      <c r="J587" s="742"/>
      <c r="K587" s="743"/>
      <c r="L587" s="742"/>
      <c r="M587" s="743"/>
      <c r="N587" s="742"/>
      <c r="O587" s="743"/>
      <c r="P587" s="742"/>
      <c r="Q587" s="743"/>
      <c r="R587" s="742"/>
      <c r="S587" s="743"/>
      <c r="T587" s="76"/>
      <c r="U587" s="67">
        <f t="shared" si="75"/>
        <v>0</v>
      </c>
      <c r="V587" s="417">
        <v>10</v>
      </c>
      <c r="W587" s="82">
        <f t="shared" si="76"/>
        <v>0</v>
      </c>
      <c r="X587" s="720"/>
      <c r="Y587" s="706"/>
      <c r="Z587" s="697"/>
      <c r="AA587" s="698"/>
    </row>
    <row r="588" spans="1:27" ht="27.95" customHeight="1" x14ac:dyDescent="0.2">
      <c r="A588" s="421"/>
      <c r="B588" s="319" t="s">
        <v>746</v>
      </c>
      <c r="C588" s="131" t="s">
        <v>1246</v>
      </c>
      <c r="D588" s="742"/>
      <c r="E588" s="743"/>
      <c r="F588" s="742"/>
      <c r="G588" s="743"/>
      <c r="H588" s="742"/>
      <c r="I588" s="743"/>
      <c r="J588" s="742"/>
      <c r="K588" s="743"/>
      <c r="L588" s="742"/>
      <c r="M588" s="743"/>
      <c r="N588" s="742"/>
      <c r="O588" s="743"/>
      <c r="P588" s="742"/>
      <c r="Q588" s="743"/>
      <c r="R588" s="742"/>
      <c r="S588" s="743"/>
      <c r="T588" s="76"/>
      <c r="U588" s="67">
        <f t="shared" si="75"/>
        <v>0</v>
      </c>
      <c r="V588" s="417">
        <v>10</v>
      </c>
      <c r="W588" s="82">
        <f t="shared" si="76"/>
        <v>0</v>
      </c>
      <c r="X588" s="717"/>
      <c r="Y588" s="694"/>
      <c r="Z588" s="697" t="s">
        <v>656</v>
      </c>
      <c r="AA588" s="698"/>
    </row>
    <row r="589" spans="1:27" ht="27.95" customHeight="1" x14ac:dyDescent="0.2">
      <c r="A589" s="408"/>
      <c r="B589" s="319" t="s">
        <v>1237</v>
      </c>
      <c r="C589" s="515" t="s">
        <v>1247</v>
      </c>
      <c r="D589" s="742"/>
      <c r="E589" s="743"/>
      <c r="F589" s="742"/>
      <c r="G589" s="743"/>
      <c r="H589" s="742"/>
      <c r="I589" s="743"/>
      <c r="J589" s="742"/>
      <c r="K589" s="743"/>
      <c r="L589" s="742"/>
      <c r="M589" s="743"/>
      <c r="N589" s="742"/>
      <c r="O589" s="743"/>
      <c r="P589" s="742"/>
      <c r="Q589" s="743"/>
      <c r="R589" s="742"/>
      <c r="S589" s="743"/>
      <c r="T589" s="76"/>
      <c r="U589" s="67">
        <f t="shared" si="75"/>
        <v>0</v>
      </c>
      <c r="V589" s="417">
        <v>10</v>
      </c>
      <c r="W589" s="82">
        <f t="shared" si="76"/>
        <v>0</v>
      </c>
      <c r="X589" s="717"/>
      <c r="Z589" s="697" t="s">
        <v>656</v>
      </c>
      <c r="AA589" s="698"/>
    </row>
    <row r="590" spans="1:27" ht="45" customHeight="1" x14ac:dyDescent="0.2">
      <c r="A590" s="421"/>
      <c r="B590" s="319" t="s">
        <v>747</v>
      </c>
      <c r="C590" s="131" t="s">
        <v>1296</v>
      </c>
      <c r="D590" s="742"/>
      <c r="E590" s="743"/>
      <c r="F590" s="742"/>
      <c r="G590" s="743"/>
      <c r="H590" s="742"/>
      <c r="I590" s="743"/>
      <c r="J590" s="742"/>
      <c r="K590" s="743"/>
      <c r="L590" s="742"/>
      <c r="M590" s="743"/>
      <c r="N590" s="742"/>
      <c r="O590" s="743"/>
      <c r="P590" s="742"/>
      <c r="Q590" s="743"/>
      <c r="R590" s="742"/>
      <c r="S590" s="743"/>
      <c r="T590" s="76"/>
      <c r="U590" s="67">
        <f t="shared" si="75"/>
        <v>0</v>
      </c>
      <c r="V590" s="417">
        <v>10</v>
      </c>
      <c r="W590" s="82">
        <f t="shared" si="76"/>
        <v>0</v>
      </c>
      <c r="X590" s="717"/>
      <c r="Z590" s="697"/>
      <c r="AA590" s="698"/>
    </row>
    <row r="591" spans="1:27" ht="45" customHeight="1" thickBot="1" x14ac:dyDescent="0.25">
      <c r="A591" s="421"/>
      <c r="B591" s="319" t="s">
        <v>1236</v>
      </c>
      <c r="C591" s="131" t="s">
        <v>1248</v>
      </c>
      <c r="D591" s="742"/>
      <c r="E591" s="743"/>
      <c r="F591" s="742"/>
      <c r="G591" s="743"/>
      <c r="H591" s="742"/>
      <c r="I591" s="743"/>
      <c r="J591" s="742"/>
      <c r="K591" s="743"/>
      <c r="L591" s="742"/>
      <c r="M591" s="743"/>
      <c r="N591" s="742"/>
      <c r="O591" s="743"/>
      <c r="P591" s="742"/>
      <c r="Q591" s="743"/>
      <c r="R591" s="742"/>
      <c r="S591" s="743"/>
      <c r="T591" s="76"/>
      <c r="U591" s="67">
        <f t="shared" si="75"/>
        <v>0</v>
      </c>
      <c r="V591" s="431">
        <v>10</v>
      </c>
      <c r="W591" s="82">
        <f t="shared" si="76"/>
        <v>0</v>
      </c>
      <c r="X591" s="717"/>
      <c r="Z591" s="697"/>
      <c r="AA591" s="698"/>
    </row>
    <row r="592" spans="1:27" ht="21.6" customHeight="1" thickTop="1" thickBot="1" x14ac:dyDescent="0.25">
      <c r="A592" s="421"/>
      <c r="B592" s="182"/>
      <c r="C592" s="164"/>
      <c r="D592" s="750" t="s">
        <v>662</v>
      </c>
      <c r="E592" s="779"/>
      <c r="F592" s="779"/>
      <c r="G592" s="779"/>
      <c r="H592" s="779"/>
      <c r="I592" s="779"/>
      <c r="J592" s="779"/>
      <c r="K592" s="779"/>
      <c r="L592" s="779"/>
      <c r="M592" s="779"/>
      <c r="N592" s="779"/>
      <c r="O592" s="779"/>
      <c r="P592" s="779"/>
      <c r="Q592" s="779"/>
      <c r="R592" s="779"/>
      <c r="S592" s="779"/>
      <c r="T592" s="780"/>
      <c r="U592" s="1">
        <f>SUM(U586:U591)</f>
        <v>0</v>
      </c>
      <c r="V592" s="454">
        <f>SUM(V586:V591)</f>
        <v>60</v>
      </c>
      <c r="W592" s="82"/>
      <c r="X592" s="721"/>
      <c r="Y592" s="701"/>
      <c r="Z592" s="697"/>
      <c r="AA592" s="698"/>
    </row>
    <row r="593" spans="1:27" ht="21" customHeight="1" thickBot="1" x14ac:dyDescent="0.25">
      <c r="A593" s="411"/>
      <c r="B593" s="180"/>
      <c r="C593" s="380"/>
      <c r="D593" s="740"/>
      <c r="E593" s="960"/>
      <c r="F593" s="787">
        <v>20</v>
      </c>
      <c r="G593" s="958"/>
      <c r="H593" s="958"/>
      <c r="I593" s="958"/>
      <c r="J593" s="958"/>
      <c r="K593" s="958"/>
      <c r="L593" s="958"/>
      <c r="M593" s="958"/>
      <c r="N593" s="958"/>
      <c r="O593" s="958"/>
      <c r="P593" s="958"/>
      <c r="Q593" s="958"/>
      <c r="R593" s="958"/>
      <c r="S593" s="958"/>
      <c r="T593" s="958"/>
      <c r="U593" s="958"/>
      <c r="V593" s="959"/>
      <c r="W593" s="82"/>
      <c r="Y593" s="701"/>
      <c r="Z593" s="697"/>
      <c r="AA593" s="698"/>
    </row>
    <row r="594" spans="1:27" ht="30" customHeight="1" thickBot="1" x14ac:dyDescent="0.25">
      <c r="A594" s="565" t="s">
        <v>1816</v>
      </c>
      <c r="B594" s="322">
        <v>7300</v>
      </c>
      <c r="C594" s="140" t="s">
        <v>42</v>
      </c>
      <c r="D594" s="26" t="s">
        <v>661</v>
      </c>
      <c r="E594" s="35"/>
      <c r="F594" s="36"/>
      <c r="G594" s="37"/>
      <c r="H594" s="26"/>
      <c r="I594" s="35"/>
      <c r="J594" s="36"/>
      <c r="K594" s="37"/>
      <c r="L594" s="26"/>
      <c r="M594" s="35"/>
      <c r="N594" s="36"/>
      <c r="O594" s="45"/>
      <c r="P594" s="46"/>
      <c r="Q594" s="43"/>
      <c r="R594" s="44"/>
      <c r="S594" s="45"/>
      <c r="T594" s="41"/>
      <c r="U594" s="47"/>
      <c r="V594" s="47"/>
      <c r="W594" s="82"/>
      <c r="Y594" s="694"/>
      <c r="Z594" s="697"/>
      <c r="AA594" s="698"/>
    </row>
    <row r="595" spans="1:27" ht="45" customHeight="1" x14ac:dyDescent="0.2">
      <c r="A595" s="421"/>
      <c r="B595" s="310" t="s">
        <v>908</v>
      </c>
      <c r="C595" s="124" t="s">
        <v>1107</v>
      </c>
      <c r="D595" s="742"/>
      <c r="E595" s="743"/>
      <c r="F595" s="742"/>
      <c r="G595" s="743"/>
      <c r="H595" s="742"/>
      <c r="I595" s="743"/>
      <c r="J595" s="742"/>
      <c r="K595" s="743"/>
      <c r="L595" s="742"/>
      <c r="M595" s="743"/>
      <c r="N595" s="742"/>
      <c r="O595" s="743"/>
      <c r="P595" s="742"/>
      <c r="Q595" s="743"/>
      <c r="R595" s="742"/>
      <c r="S595" s="743"/>
      <c r="T595" s="76"/>
      <c r="U595" s="70">
        <f>IF(OR(D595="s",F595="s",H595="s",J595="s",L595="s",N595="s",P595="s",R595="s"), 0, IF(OR(D595="a",F595="a",H595="a",J595="a",L595="a",N595="a",P595="a",R595="a"),V595,0))</f>
        <v>0</v>
      </c>
      <c r="V595" s="420">
        <v>20</v>
      </c>
      <c r="W595" s="82">
        <f>COUNTIF(D595:S595,"a")+COUNTIF(D595:S595,"s")</f>
        <v>0</v>
      </c>
      <c r="X595" s="717"/>
      <c r="Y595" s="694"/>
      <c r="Z595" s="697" t="s">
        <v>656</v>
      </c>
      <c r="AA595" s="698"/>
    </row>
    <row r="596" spans="1:27" ht="106.5" customHeight="1" x14ac:dyDescent="0.2">
      <c r="A596" s="421"/>
      <c r="B596" s="319" t="s">
        <v>985</v>
      </c>
      <c r="C596" s="400" t="s">
        <v>1249</v>
      </c>
      <c r="D596" s="742"/>
      <c r="E596" s="743"/>
      <c r="F596" s="742"/>
      <c r="G596" s="743"/>
      <c r="H596" s="742"/>
      <c r="I596" s="743"/>
      <c r="J596" s="742"/>
      <c r="K596" s="743"/>
      <c r="L596" s="742"/>
      <c r="M596" s="743"/>
      <c r="N596" s="742"/>
      <c r="O596" s="743"/>
      <c r="P596" s="742"/>
      <c r="Q596" s="743"/>
      <c r="R596" s="742"/>
      <c r="S596" s="743"/>
      <c r="T596" s="76"/>
      <c r="U596" s="67">
        <f>IF(OR(D596="s",F596="s",H596="s",J596="s",L596="s",N596="s",P596="s",R596="s"), 0, IF(OR(D596="a",F596="a",H596="a",J596="a",L596="a",N596="a",P596="a",R596="a"),V596,0))</f>
        <v>0</v>
      </c>
      <c r="V596" s="417">
        <v>10</v>
      </c>
      <c r="W596" s="82">
        <f>COUNTIF(D596:S596,"a")+COUNTIF(D596:S596,"s")</f>
        <v>0</v>
      </c>
      <c r="X596" s="720"/>
      <c r="Y596" s="706"/>
      <c r="Z596" s="697" t="s">
        <v>656</v>
      </c>
      <c r="AA596" s="698"/>
    </row>
    <row r="597" spans="1:27" ht="27.95" customHeight="1" x14ac:dyDescent="0.2">
      <c r="A597" s="421"/>
      <c r="B597" s="319" t="s">
        <v>164</v>
      </c>
      <c r="C597" s="131" t="s">
        <v>1250</v>
      </c>
      <c r="D597" s="742"/>
      <c r="E597" s="743"/>
      <c r="F597" s="742"/>
      <c r="G597" s="743"/>
      <c r="H597" s="742"/>
      <c r="I597" s="743"/>
      <c r="J597" s="742"/>
      <c r="K597" s="743"/>
      <c r="L597" s="742"/>
      <c r="M597" s="743"/>
      <c r="N597" s="742"/>
      <c r="O597" s="743"/>
      <c r="P597" s="742"/>
      <c r="Q597" s="743"/>
      <c r="R597" s="742"/>
      <c r="S597" s="743"/>
      <c r="T597" s="76"/>
      <c r="U597" s="67">
        <f t="shared" ref="U597:U601" si="77">IF(OR(D597="s",F597="s",H597="s",J597="s",L597="s",N597="s",P597="s",R597="s"), 0, IF(OR(D597="a",F597="a",H597="a",J597="a",L597="a",N597="a",P597="a",R597="a"),V597,0))</f>
        <v>0</v>
      </c>
      <c r="V597" s="417">
        <v>5</v>
      </c>
      <c r="W597" s="82">
        <f t="shared" ref="W597:W599" si="78">COUNTIF(D597:S597,"a")+COUNTIF(D597:S597,"s")</f>
        <v>0</v>
      </c>
      <c r="X597" s="717"/>
      <c r="Z597" s="697"/>
      <c r="AA597" s="698"/>
    </row>
    <row r="598" spans="1:27" ht="45" customHeight="1" x14ac:dyDescent="0.2">
      <c r="A598" s="421"/>
      <c r="B598" s="319" t="s">
        <v>209</v>
      </c>
      <c r="C598" s="131" t="s">
        <v>1251</v>
      </c>
      <c r="D598" s="742"/>
      <c r="E598" s="743"/>
      <c r="F598" s="742"/>
      <c r="G598" s="743"/>
      <c r="H598" s="742"/>
      <c r="I598" s="743"/>
      <c r="J598" s="742"/>
      <c r="K598" s="743"/>
      <c r="L598" s="742"/>
      <c r="M598" s="743"/>
      <c r="N598" s="742"/>
      <c r="O598" s="743"/>
      <c r="P598" s="742"/>
      <c r="Q598" s="743"/>
      <c r="R598" s="742"/>
      <c r="S598" s="743"/>
      <c r="T598" s="76"/>
      <c r="U598" s="67">
        <f t="shared" si="77"/>
        <v>0</v>
      </c>
      <c r="V598" s="417">
        <v>10</v>
      </c>
      <c r="W598" s="82">
        <f t="shared" si="78"/>
        <v>0</v>
      </c>
      <c r="X598" s="717"/>
      <c r="Z598" s="697" t="s">
        <v>656</v>
      </c>
      <c r="AA598" s="698"/>
    </row>
    <row r="599" spans="1:27" ht="27.95" customHeight="1" x14ac:dyDescent="0.2">
      <c r="A599" s="421"/>
      <c r="B599" s="319" t="s">
        <v>210</v>
      </c>
      <c r="C599" s="131" t="s">
        <v>1261</v>
      </c>
      <c r="D599" s="742"/>
      <c r="E599" s="743"/>
      <c r="F599" s="742"/>
      <c r="G599" s="743"/>
      <c r="H599" s="742"/>
      <c r="I599" s="743"/>
      <c r="J599" s="742"/>
      <c r="K599" s="743"/>
      <c r="L599" s="742"/>
      <c r="M599" s="743"/>
      <c r="N599" s="742"/>
      <c r="O599" s="743"/>
      <c r="P599" s="742"/>
      <c r="Q599" s="743"/>
      <c r="R599" s="742"/>
      <c r="S599" s="743"/>
      <c r="T599" s="76"/>
      <c r="U599" s="67">
        <f t="shared" si="77"/>
        <v>0</v>
      </c>
      <c r="V599" s="417">
        <v>5</v>
      </c>
      <c r="W599" s="82">
        <f t="shared" si="78"/>
        <v>0</v>
      </c>
      <c r="X599" s="717"/>
      <c r="Z599" s="697"/>
      <c r="AA599" s="698"/>
    </row>
    <row r="600" spans="1:27" ht="45" customHeight="1" x14ac:dyDescent="0.2">
      <c r="A600" s="421"/>
      <c r="B600" s="319" t="s">
        <v>1022</v>
      </c>
      <c r="C600" s="131" t="s">
        <v>1252</v>
      </c>
      <c r="D600" s="742"/>
      <c r="E600" s="743"/>
      <c r="F600" s="742"/>
      <c r="G600" s="743"/>
      <c r="H600" s="742"/>
      <c r="I600" s="743"/>
      <c r="J600" s="742"/>
      <c r="K600" s="743"/>
      <c r="L600" s="742"/>
      <c r="M600" s="743"/>
      <c r="N600" s="742"/>
      <c r="O600" s="743"/>
      <c r="P600" s="742"/>
      <c r="Q600" s="743"/>
      <c r="R600" s="742"/>
      <c r="S600" s="743"/>
      <c r="T600" s="76"/>
      <c r="U600" s="67">
        <f t="shared" si="77"/>
        <v>0</v>
      </c>
      <c r="V600" s="417">
        <v>5</v>
      </c>
      <c r="W600" s="82">
        <f>IF((COUNTIF(D600:S600,"a")+COUNTIF(D600:S600,"s"))&gt;0,IF(OR((COUNTIF(D602:S602,"a")+COUNTIF(D602:S602,"s"))),0,COUNTIF(D600:S600,"a")+COUNTIF(D600:S600,"s")),COUNTIF(D600:S600,"a")+COUNTIF(D600:S600,"s"))</f>
        <v>0</v>
      </c>
      <c r="X600" s="717"/>
      <c r="Z600" s="697" t="s">
        <v>656</v>
      </c>
      <c r="AA600" s="698"/>
    </row>
    <row r="601" spans="1:27" ht="27.95" customHeight="1" x14ac:dyDescent="0.2">
      <c r="A601" s="421"/>
      <c r="B601" s="319" t="s">
        <v>1239</v>
      </c>
      <c r="C601" s="131" t="s">
        <v>1253</v>
      </c>
      <c r="D601" s="742"/>
      <c r="E601" s="743"/>
      <c r="F601" s="742"/>
      <c r="G601" s="743"/>
      <c r="H601" s="742"/>
      <c r="I601" s="743"/>
      <c r="J601" s="742"/>
      <c r="K601" s="743"/>
      <c r="L601" s="742"/>
      <c r="M601" s="743"/>
      <c r="N601" s="742"/>
      <c r="O601" s="743"/>
      <c r="P601" s="742"/>
      <c r="Q601" s="743"/>
      <c r="R601" s="742"/>
      <c r="S601" s="743"/>
      <c r="T601" s="76"/>
      <c r="U601" s="67">
        <f t="shared" si="77"/>
        <v>0</v>
      </c>
      <c r="V601" s="417">
        <v>5</v>
      </c>
      <c r="W601" s="82">
        <f>IF((COUNTIF(D601:S601,"a")+COUNTIF(D601:S601,"s"))&gt;0,IF(OR((COUNTIF(D602:S602,"a")+COUNTIF(D602:S602,"s"))),0,COUNTIF(D601:S601,"a")+COUNTIF(D601:S601,"s")),COUNTIF(D601:S601,"a")+COUNTIF(D601:S601,"s"))</f>
        <v>0</v>
      </c>
      <c r="X601" s="717"/>
      <c r="Y601" s="694"/>
      <c r="Z601" s="697" t="s">
        <v>656</v>
      </c>
      <c r="AA601" s="698"/>
    </row>
    <row r="602" spans="1:27" ht="27.95" customHeight="1" x14ac:dyDescent="0.2">
      <c r="A602" s="421"/>
      <c r="B602" s="320" t="s">
        <v>1240</v>
      </c>
      <c r="C602" s="292" t="s">
        <v>1254</v>
      </c>
      <c r="D602" s="742"/>
      <c r="E602" s="743"/>
      <c r="F602" s="742"/>
      <c r="G602" s="743"/>
      <c r="H602" s="742"/>
      <c r="I602" s="743"/>
      <c r="J602" s="742"/>
      <c r="K602" s="743"/>
      <c r="L602" s="742"/>
      <c r="M602" s="743"/>
      <c r="N602" s="742"/>
      <c r="O602" s="743"/>
      <c r="P602" s="742"/>
      <c r="Q602" s="743"/>
      <c r="R602" s="742"/>
      <c r="S602" s="743"/>
      <c r="T602" s="76"/>
      <c r="U602" s="109">
        <f>IF(OR(D602="s",F602="s",H602="s",J602="s",L602="s",N602="s",P602="s",R602="s"), 0, IF(OR(D602="a",F602="a",H602="a",J602="a",L602="a",N602="a",P602="a",R602="a"),V602,0))</f>
        <v>0</v>
      </c>
      <c r="V602" s="417">
        <v>10</v>
      </c>
      <c r="W602" s="82">
        <f>IF((COUNTIF(D602:S602,"a")+COUNTIF(D602:S602,"s"))&gt;0,IF(OR((COUNTIF(D600:S601,"a")+COUNTIF(D600:S601,"s"))),0,COUNTIF(D602:S602,"a")+COUNTIF(D602:S602,"s")),COUNTIF(D602:S602,"a")+COUNTIF(D602:S602,"s"))</f>
        <v>0</v>
      </c>
      <c r="X602" s="717"/>
      <c r="Y602" s="694"/>
      <c r="Z602" s="697" t="s">
        <v>656</v>
      </c>
      <c r="AA602" s="698"/>
    </row>
    <row r="603" spans="1:27" ht="27.95" customHeight="1" thickBot="1" x14ac:dyDescent="0.25">
      <c r="A603" s="421" t="s">
        <v>716</v>
      </c>
      <c r="B603" s="319" t="s">
        <v>766</v>
      </c>
      <c r="C603" s="131" t="s">
        <v>1828</v>
      </c>
      <c r="D603" s="742"/>
      <c r="E603" s="743"/>
      <c r="F603" s="742"/>
      <c r="G603" s="743"/>
      <c r="H603" s="742"/>
      <c r="I603" s="743"/>
      <c r="J603" s="742"/>
      <c r="K603" s="743"/>
      <c r="L603" s="742"/>
      <c r="M603" s="743"/>
      <c r="N603" s="742"/>
      <c r="O603" s="743"/>
      <c r="P603" s="742"/>
      <c r="Q603" s="743"/>
      <c r="R603" s="742"/>
      <c r="S603" s="743"/>
      <c r="T603" s="76"/>
      <c r="U603" s="67">
        <f>IF(OR(D603="s",F603="s",H603="s",J603="s",L603="s",N603="s",P603="s",R603="s"), 0, IF(OR(D603="a",F603="a",H603="a",J603="a",L603="a",N603="a",P603="a",R603="a"),V603,0))</f>
        <v>0</v>
      </c>
      <c r="V603" s="417">
        <v>10</v>
      </c>
      <c r="W603" s="82">
        <f>COUNTIF(D603:S603,"a")+COUNTIF(D603:S603,"s")</f>
        <v>0</v>
      </c>
      <c r="X603" s="717"/>
      <c r="Y603" s="694"/>
      <c r="Z603" s="697"/>
      <c r="AA603" s="698"/>
    </row>
    <row r="604" spans="1:27" ht="21.6" customHeight="1" thickTop="1" thickBot="1" x14ac:dyDescent="0.25">
      <c r="A604" s="421" t="s">
        <v>272</v>
      </c>
      <c r="B604" s="182"/>
      <c r="C604" s="164"/>
      <c r="D604" s="750" t="s">
        <v>662</v>
      </c>
      <c r="E604" s="779"/>
      <c r="F604" s="779"/>
      <c r="G604" s="779"/>
      <c r="H604" s="779"/>
      <c r="I604" s="779"/>
      <c r="J604" s="779"/>
      <c r="K604" s="779"/>
      <c r="L604" s="779"/>
      <c r="M604" s="779"/>
      <c r="N604" s="779"/>
      <c r="O604" s="779"/>
      <c r="P604" s="779"/>
      <c r="Q604" s="779"/>
      <c r="R604" s="779"/>
      <c r="S604" s="779"/>
      <c r="T604" s="780"/>
      <c r="U604" s="1">
        <f>SUM(U595:U603)</f>
        <v>0</v>
      </c>
      <c r="V604" s="454">
        <f>SUM(V603:V603)+SUM(V595:V601)</f>
        <v>70</v>
      </c>
      <c r="W604" s="82"/>
      <c r="X604" s="721"/>
      <c r="Y604" s="701"/>
      <c r="Z604" s="697"/>
      <c r="AA604" s="698"/>
    </row>
    <row r="605" spans="1:27" ht="21" customHeight="1" thickBot="1" x14ac:dyDescent="0.25">
      <c r="A605" s="411" t="s">
        <v>272</v>
      </c>
      <c r="B605" s="180"/>
      <c r="C605" s="380"/>
      <c r="D605" s="740"/>
      <c r="E605" s="960"/>
      <c r="F605" s="794">
        <v>50</v>
      </c>
      <c r="G605" s="746"/>
      <c r="H605" s="746"/>
      <c r="I605" s="746"/>
      <c r="J605" s="746"/>
      <c r="K605" s="746"/>
      <c r="L605" s="746"/>
      <c r="M605" s="746"/>
      <c r="N605" s="746"/>
      <c r="O605" s="746"/>
      <c r="P605" s="746"/>
      <c r="Q605" s="746"/>
      <c r="R605" s="746"/>
      <c r="S605" s="746"/>
      <c r="T605" s="746"/>
      <c r="U605" s="746"/>
      <c r="V605" s="747"/>
      <c r="W605" s="82"/>
      <c r="Y605" s="701"/>
      <c r="Z605" s="697"/>
      <c r="AA605" s="698"/>
    </row>
    <row r="606" spans="1:27" ht="30" customHeight="1" thickBot="1" x14ac:dyDescent="0.25">
      <c r="A606" s="408"/>
      <c r="B606" s="316">
        <v>7400</v>
      </c>
      <c r="C606" s="254" t="s">
        <v>43</v>
      </c>
      <c r="D606" s="550" t="s">
        <v>661</v>
      </c>
      <c r="E606" s="549"/>
      <c r="F606" s="379" t="s">
        <v>661</v>
      </c>
      <c r="G606" s="99"/>
      <c r="H606" s="550" t="s">
        <v>661</v>
      </c>
      <c r="I606" s="549"/>
      <c r="J606" s="379" t="s">
        <v>661</v>
      </c>
      <c r="K606" s="99"/>
      <c r="L606" s="550" t="s">
        <v>661</v>
      </c>
      <c r="M606" s="549"/>
      <c r="N606" s="379" t="s">
        <v>661</v>
      </c>
      <c r="O606" s="99"/>
      <c r="P606" s="550" t="s">
        <v>661</v>
      </c>
      <c r="Q606" s="549"/>
      <c r="R606" s="379" t="s">
        <v>661</v>
      </c>
      <c r="S606" s="256"/>
      <c r="T606" s="390"/>
      <c r="U606" s="266"/>
      <c r="V606" s="428"/>
      <c r="W606" s="82"/>
      <c r="Y606" s="701"/>
      <c r="Z606" s="697"/>
      <c r="AA606" s="698"/>
    </row>
    <row r="607" spans="1:27" ht="45" customHeight="1" x14ac:dyDescent="0.2">
      <c r="A607" s="421"/>
      <c r="B607" s="310" t="s">
        <v>1131</v>
      </c>
      <c r="C607" s="124" t="s">
        <v>1255</v>
      </c>
      <c r="D607" s="748"/>
      <c r="E607" s="749"/>
      <c r="F607" s="748"/>
      <c r="G607" s="749"/>
      <c r="H607" s="748"/>
      <c r="I607" s="749"/>
      <c r="J607" s="748"/>
      <c r="K607" s="749"/>
      <c r="L607" s="748"/>
      <c r="M607" s="749"/>
      <c r="N607" s="748"/>
      <c r="O607" s="749"/>
      <c r="P607" s="748"/>
      <c r="Q607" s="749"/>
      <c r="R607" s="748"/>
      <c r="S607" s="749"/>
      <c r="T607" s="76"/>
      <c r="U607" s="70">
        <f t="shared" ref="U607:U611" si="79">IF(OR(D607="s",F607="s",H607="s",J607="s",L607="s",N607="s",P607="s",R607="s"), 0, IF(OR(D607="a",F607="a",H607="a",J607="a",L607="a",N607="a",P607="a",R607="a"),V607,0))</f>
        <v>0</v>
      </c>
      <c r="V607" s="420">
        <v>20</v>
      </c>
      <c r="W607" s="82">
        <f t="shared" ref="W607:W611" si="80">COUNTIF(D607:S607,"a")+COUNTIF(D607:S607,"s")</f>
        <v>0</v>
      </c>
      <c r="X607" s="717"/>
      <c r="Y607" s="701"/>
      <c r="Z607" s="697" t="s">
        <v>656</v>
      </c>
      <c r="AA607" s="698"/>
    </row>
    <row r="608" spans="1:27" ht="45" customHeight="1" x14ac:dyDescent="0.2">
      <c r="A608" s="421"/>
      <c r="B608" s="319" t="s">
        <v>1132</v>
      </c>
      <c r="C608" s="131" t="s">
        <v>1327</v>
      </c>
      <c r="D608" s="742"/>
      <c r="E608" s="743"/>
      <c r="F608" s="742"/>
      <c r="G608" s="743"/>
      <c r="H608" s="742"/>
      <c r="I608" s="743"/>
      <c r="J608" s="742"/>
      <c r="K608" s="743"/>
      <c r="L608" s="742"/>
      <c r="M608" s="743"/>
      <c r="N608" s="742"/>
      <c r="O608" s="743"/>
      <c r="P608" s="742"/>
      <c r="Q608" s="743"/>
      <c r="R608" s="742"/>
      <c r="S608" s="743"/>
      <c r="T608" s="76"/>
      <c r="U608" s="67">
        <f t="shared" si="79"/>
        <v>0</v>
      </c>
      <c r="V608" s="417">
        <v>20</v>
      </c>
      <c r="W608" s="82">
        <f t="shared" si="80"/>
        <v>0</v>
      </c>
      <c r="X608" s="717"/>
      <c r="Y608" s="701"/>
      <c r="Z608" s="697" t="s">
        <v>656</v>
      </c>
      <c r="AA608" s="698"/>
    </row>
    <row r="609" spans="1:27" ht="67.7" customHeight="1" x14ac:dyDescent="0.2">
      <c r="A609" s="421"/>
      <c r="B609" s="319" t="s">
        <v>1316</v>
      </c>
      <c r="C609" s="131" t="s">
        <v>1317</v>
      </c>
      <c r="D609" s="742"/>
      <c r="E609" s="743"/>
      <c r="F609" s="742"/>
      <c r="G609" s="743"/>
      <c r="H609" s="742"/>
      <c r="I609" s="743"/>
      <c r="J609" s="742"/>
      <c r="K609" s="743"/>
      <c r="L609" s="742"/>
      <c r="M609" s="743"/>
      <c r="N609" s="742"/>
      <c r="O609" s="743"/>
      <c r="P609" s="742"/>
      <c r="Q609" s="743"/>
      <c r="R609" s="742"/>
      <c r="S609" s="743"/>
      <c r="T609" s="72"/>
      <c r="U609" s="67">
        <f>IF(OR(D609="s",F609="s",H609="s",J609="s",L609="s",N609="s",P609="s",R609="s"), 0, IF(OR(D609="a",F609="a",H609="a",J609="a",L609="a",N609="a",P609="a",R609="a",T609="na"),V609,0))</f>
        <v>0</v>
      </c>
      <c r="V609" s="417">
        <v>10</v>
      </c>
      <c r="W609" s="82">
        <f>COUNTIF(D609:S609,"a")+COUNTIF(D609:S609,"s")+COUNTIF(T609,"na")</f>
        <v>0</v>
      </c>
      <c r="X609" s="717"/>
      <c r="Y609" s="701"/>
      <c r="Z609" s="697"/>
      <c r="AA609" s="698"/>
    </row>
    <row r="610" spans="1:27" ht="27.95" customHeight="1" x14ac:dyDescent="0.2">
      <c r="A610" s="421"/>
      <c r="B610" s="319" t="s">
        <v>935</v>
      </c>
      <c r="C610" s="131" t="s">
        <v>1256</v>
      </c>
      <c r="D610" s="742"/>
      <c r="E610" s="743"/>
      <c r="F610" s="742"/>
      <c r="G610" s="743"/>
      <c r="H610" s="742"/>
      <c r="I610" s="743"/>
      <c r="J610" s="742"/>
      <c r="K610" s="743"/>
      <c r="L610" s="742"/>
      <c r="M610" s="743"/>
      <c r="N610" s="742"/>
      <c r="O610" s="743"/>
      <c r="P610" s="742"/>
      <c r="Q610" s="743"/>
      <c r="R610" s="742"/>
      <c r="S610" s="743"/>
      <c r="T610" s="76"/>
      <c r="U610" s="67">
        <f t="shared" si="79"/>
        <v>0</v>
      </c>
      <c r="V610" s="417">
        <v>10</v>
      </c>
      <c r="W610" s="82">
        <f t="shared" si="80"/>
        <v>0</v>
      </c>
      <c r="X610" s="717"/>
      <c r="Y610" s="701"/>
      <c r="Z610" s="697" t="s">
        <v>656</v>
      </c>
      <c r="AA610" s="698"/>
    </row>
    <row r="611" spans="1:27" ht="27.75" customHeight="1" thickBot="1" x14ac:dyDescent="0.25">
      <c r="A611" s="421"/>
      <c r="B611" s="319" t="s">
        <v>1257</v>
      </c>
      <c r="C611" s="400" t="s">
        <v>1258</v>
      </c>
      <c r="D611" s="751"/>
      <c r="E611" s="752"/>
      <c r="F611" s="751"/>
      <c r="G611" s="752"/>
      <c r="H611" s="751"/>
      <c r="I611" s="752"/>
      <c r="J611" s="751"/>
      <c r="K611" s="752"/>
      <c r="L611" s="751"/>
      <c r="M611" s="752"/>
      <c r="N611" s="751"/>
      <c r="O611" s="752"/>
      <c r="P611" s="751"/>
      <c r="Q611" s="752"/>
      <c r="R611" s="751"/>
      <c r="S611" s="752"/>
      <c r="T611" s="76"/>
      <c r="U611" s="68">
        <f t="shared" si="79"/>
        <v>0</v>
      </c>
      <c r="V611" s="431">
        <v>10</v>
      </c>
      <c r="W611" s="82">
        <f t="shared" si="80"/>
        <v>0</v>
      </c>
      <c r="X611" s="717"/>
      <c r="Y611" s="701"/>
      <c r="Z611" s="697"/>
      <c r="AA611" s="698"/>
    </row>
    <row r="612" spans="1:27" ht="20.45" customHeight="1" thickTop="1" thickBot="1" x14ac:dyDescent="0.25">
      <c r="A612" s="421"/>
      <c r="B612" s="80"/>
      <c r="C612" s="164"/>
      <c r="D612" s="750" t="s">
        <v>662</v>
      </c>
      <c r="E612" s="779"/>
      <c r="F612" s="779"/>
      <c r="G612" s="779"/>
      <c r="H612" s="779"/>
      <c r="I612" s="779"/>
      <c r="J612" s="779"/>
      <c r="K612" s="779"/>
      <c r="L612" s="779"/>
      <c r="M612" s="779"/>
      <c r="N612" s="779"/>
      <c r="O612" s="779"/>
      <c r="P612" s="779"/>
      <c r="Q612" s="779"/>
      <c r="R612" s="779"/>
      <c r="S612" s="779"/>
      <c r="T612" s="780"/>
      <c r="U612" s="1">
        <f>SUM(U607:U611)</f>
        <v>0</v>
      </c>
      <c r="V612" s="454">
        <f>SUM(V607:V611)</f>
        <v>70</v>
      </c>
      <c r="W612" s="82"/>
      <c r="X612" s="721"/>
      <c r="Y612" s="701"/>
      <c r="Z612" s="697"/>
      <c r="AA612" s="698"/>
    </row>
    <row r="613" spans="1:27" ht="20.45" customHeight="1" thickBot="1" x14ac:dyDescent="0.25">
      <c r="A613" s="411"/>
      <c r="B613" s="115"/>
      <c r="C613" s="466"/>
      <c r="D613" s="740"/>
      <c r="E613" s="960"/>
      <c r="F613" s="833">
        <v>50</v>
      </c>
      <c r="G613" s="746"/>
      <c r="H613" s="746"/>
      <c r="I613" s="746"/>
      <c r="J613" s="746"/>
      <c r="K613" s="746"/>
      <c r="L613" s="746"/>
      <c r="M613" s="746"/>
      <c r="N613" s="746"/>
      <c r="O613" s="746"/>
      <c r="P613" s="746"/>
      <c r="Q613" s="746"/>
      <c r="R613" s="746"/>
      <c r="S613" s="746"/>
      <c r="T613" s="746"/>
      <c r="U613" s="746"/>
      <c r="V613" s="747"/>
      <c r="W613" s="82"/>
      <c r="Y613" s="701"/>
      <c r="Z613" s="697"/>
      <c r="AA613" s="698"/>
    </row>
    <row r="614" spans="1:27" ht="30" customHeight="1" thickBot="1" x14ac:dyDescent="0.25">
      <c r="A614" s="408"/>
      <c r="B614" s="316" t="s">
        <v>1241</v>
      </c>
      <c r="C614" s="254" t="s">
        <v>1242</v>
      </c>
      <c r="D614" s="550" t="s">
        <v>661</v>
      </c>
      <c r="E614" s="464"/>
      <c r="F614" s="371"/>
      <c r="G614" s="370"/>
      <c r="H614" s="465"/>
      <c r="I614" s="464"/>
      <c r="J614" s="371"/>
      <c r="K614" s="370"/>
      <c r="L614" s="465"/>
      <c r="M614" s="464"/>
      <c r="N614" s="371"/>
      <c r="O614" s="370"/>
      <c r="P614" s="465"/>
      <c r="Q614" s="464"/>
      <c r="R614" s="371"/>
      <c r="S614" s="370"/>
      <c r="T614" s="729"/>
      <c r="U614" s="373"/>
      <c r="V614" s="373"/>
      <c r="W614" s="82"/>
      <c r="Y614" s="701"/>
      <c r="Z614" s="697"/>
      <c r="AA614" s="698"/>
    </row>
    <row r="615" spans="1:27" s="705" customFormat="1" ht="30" customHeight="1" x14ac:dyDescent="0.2">
      <c r="A615" s="421"/>
      <c r="B615" s="319"/>
      <c r="C615" s="403" t="s">
        <v>1696</v>
      </c>
      <c r="D615" s="1029"/>
      <c r="E615" s="866"/>
      <c r="F615" s="866"/>
      <c r="G615" s="866"/>
      <c r="H615" s="866"/>
      <c r="I615" s="866"/>
      <c r="J615" s="866"/>
      <c r="K615" s="866"/>
      <c r="L615" s="866"/>
      <c r="M615" s="866"/>
      <c r="N615" s="866"/>
      <c r="O615" s="866"/>
      <c r="P615" s="866"/>
      <c r="Q615" s="866"/>
      <c r="R615" s="866"/>
      <c r="S615" s="866"/>
      <c r="T615" s="866"/>
      <c r="U615" s="866"/>
      <c r="V615" s="867"/>
      <c r="W615" s="82"/>
      <c r="X615" s="718"/>
      <c r="Y615" s="696"/>
      <c r="Z615" s="697"/>
      <c r="AA615" s="698"/>
    </row>
    <row r="616" spans="1:27" ht="45" customHeight="1" x14ac:dyDescent="0.2">
      <c r="A616" s="421"/>
      <c r="B616" s="310" t="s">
        <v>1133</v>
      </c>
      <c r="C616" s="516" t="s">
        <v>1703</v>
      </c>
      <c r="D616" s="744"/>
      <c r="E616" s="745"/>
      <c r="F616" s="744"/>
      <c r="G616" s="745"/>
      <c r="H616" s="744"/>
      <c r="I616" s="745"/>
      <c r="J616" s="744"/>
      <c r="K616" s="745"/>
      <c r="L616" s="744"/>
      <c r="M616" s="745"/>
      <c r="N616" s="744"/>
      <c r="O616" s="745"/>
      <c r="P616" s="744"/>
      <c r="Q616" s="745"/>
      <c r="R616" s="744"/>
      <c r="S616" s="745"/>
      <c r="T616" s="76"/>
      <c r="U616" s="71">
        <f t="shared" ref="U616:U625" si="81">IF(OR(D616="s",F616="s",H616="s",J616="s",L616="s",N616="s",P616="s",R616="s"), 0, IF(OR(D616="a",F616="a",H616="a",J616="a",L616="a",N616="a",P616="a",R616="a"),V616,0))</f>
        <v>0</v>
      </c>
      <c r="V616" s="420">
        <v>5</v>
      </c>
      <c r="W616" s="82">
        <f t="shared" ref="W616:W625" si="82">COUNTIF(D616:S616,"a")+COUNTIF(D616:S616,"s")</f>
        <v>0</v>
      </c>
      <c r="X616" s="717"/>
      <c r="Y616" s="701"/>
      <c r="Z616" s="697" t="s">
        <v>656</v>
      </c>
      <c r="AA616" s="698"/>
    </row>
    <row r="617" spans="1:27" ht="45" customHeight="1" x14ac:dyDescent="0.2">
      <c r="A617" s="421" t="s">
        <v>272</v>
      </c>
      <c r="B617" s="310" t="s">
        <v>316</v>
      </c>
      <c r="C617" s="658" t="s">
        <v>1259</v>
      </c>
      <c r="D617" s="764"/>
      <c r="E617" s="765"/>
      <c r="F617" s="764"/>
      <c r="G617" s="765"/>
      <c r="H617" s="764"/>
      <c r="I617" s="765"/>
      <c r="J617" s="764"/>
      <c r="K617" s="765"/>
      <c r="L617" s="764"/>
      <c r="M617" s="765"/>
      <c r="N617" s="764"/>
      <c r="O617" s="765"/>
      <c r="P617" s="764"/>
      <c r="Q617" s="765"/>
      <c r="R617" s="764"/>
      <c r="S617" s="765"/>
      <c r="T617" s="532"/>
      <c r="U617" s="107">
        <f t="shared" si="81"/>
        <v>0</v>
      </c>
      <c r="V617" s="422">
        <v>5</v>
      </c>
      <c r="W617" s="82">
        <f t="shared" si="82"/>
        <v>0</v>
      </c>
      <c r="X617" s="717"/>
      <c r="Y617" s="701"/>
      <c r="Z617" s="697" t="s">
        <v>656</v>
      </c>
      <c r="AA617" s="698"/>
    </row>
    <row r="618" spans="1:27" s="705" customFormat="1" ht="30" customHeight="1" x14ac:dyDescent="0.2">
      <c r="A618" s="421"/>
      <c r="B618" s="319"/>
      <c r="C618" s="627" t="s">
        <v>1697</v>
      </c>
      <c r="D618" s="1001"/>
      <c r="E618" s="783"/>
      <c r="F618" s="783"/>
      <c r="G618" s="783"/>
      <c r="H618" s="783"/>
      <c r="I618" s="783"/>
      <c r="J618" s="783"/>
      <c r="K618" s="783"/>
      <c r="L618" s="783"/>
      <c r="M618" s="783"/>
      <c r="N618" s="783"/>
      <c r="O618" s="783"/>
      <c r="P618" s="783"/>
      <c r="Q618" s="783"/>
      <c r="R618" s="783"/>
      <c r="S618" s="783"/>
      <c r="T618" s="783"/>
      <c r="U618" s="783"/>
      <c r="V618" s="784"/>
      <c r="W618" s="82"/>
      <c r="X618" s="718"/>
      <c r="Y618" s="696"/>
      <c r="Z618" s="697"/>
      <c r="AA618" s="698"/>
    </row>
    <row r="619" spans="1:27" ht="45" customHeight="1" x14ac:dyDescent="0.2">
      <c r="A619" s="421"/>
      <c r="B619" s="310" t="s">
        <v>1243</v>
      </c>
      <c r="C619" s="517" t="s">
        <v>1704</v>
      </c>
      <c r="D619" s="742"/>
      <c r="E619" s="743"/>
      <c r="F619" s="742"/>
      <c r="G619" s="743"/>
      <c r="H619" s="742"/>
      <c r="I619" s="743"/>
      <c r="J619" s="742"/>
      <c r="K619" s="743"/>
      <c r="L619" s="742"/>
      <c r="M619" s="743"/>
      <c r="N619" s="742"/>
      <c r="O619" s="743"/>
      <c r="P619" s="742"/>
      <c r="Q619" s="743"/>
      <c r="R619" s="742"/>
      <c r="S619" s="743"/>
      <c r="T619" s="76"/>
      <c r="U619" s="67">
        <f t="shared" si="81"/>
        <v>0</v>
      </c>
      <c r="V619" s="417">
        <v>30</v>
      </c>
      <c r="W619" s="82">
        <f t="shared" si="82"/>
        <v>0</v>
      </c>
      <c r="X619" s="717"/>
      <c r="Y619" s="701"/>
      <c r="Z619" s="697" t="s">
        <v>656</v>
      </c>
      <c r="AA619" s="698"/>
    </row>
    <row r="620" spans="1:27" ht="67.7" customHeight="1" x14ac:dyDescent="0.2">
      <c r="A620" s="421" t="s">
        <v>272</v>
      </c>
      <c r="B620" s="310" t="s">
        <v>1698</v>
      </c>
      <c r="C620" s="517" t="s">
        <v>1699</v>
      </c>
      <c r="D620" s="742"/>
      <c r="E620" s="743"/>
      <c r="F620" s="742"/>
      <c r="G620" s="743"/>
      <c r="H620" s="742"/>
      <c r="I620" s="743"/>
      <c r="J620" s="742"/>
      <c r="K620" s="743"/>
      <c r="L620" s="742"/>
      <c r="M620" s="743"/>
      <c r="N620" s="742"/>
      <c r="O620" s="743"/>
      <c r="P620" s="742"/>
      <c r="Q620" s="743"/>
      <c r="R620" s="742"/>
      <c r="S620" s="743"/>
      <c r="T620" s="76"/>
      <c r="U620" s="67">
        <f t="shared" si="81"/>
        <v>0</v>
      </c>
      <c r="V620" s="417">
        <v>20</v>
      </c>
      <c r="W620" s="82">
        <f t="shared" si="82"/>
        <v>0</v>
      </c>
      <c r="X620" s="717"/>
      <c r="Y620" s="701"/>
      <c r="Z620" s="697"/>
      <c r="AA620" s="698"/>
    </row>
    <row r="621" spans="1:27" ht="126" customHeight="1" x14ac:dyDescent="0.2">
      <c r="A621" s="421" t="s">
        <v>272</v>
      </c>
      <c r="B621" s="310" t="s">
        <v>1700</v>
      </c>
      <c r="C621" s="517" t="s">
        <v>1705</v>
      </c>
      <c r="D621" s="742"/>
      <c r="E621" s="743"/>
      <c r="F621" s="742"/>
      <c r="G621" s="743"/>
      <c r="H621" s="742"/>
      <c r="I621" s="743"/>
      <c r="J621" s="742"/>
      <c r="K621" s="743"/>
      <c r="L621" s="742"/>
      <c r="M621" s="743"/>
      <c r="N621" s="742"/>
      <c r="O621" s="743"/>
      <c r="P621" s="742"/>
      <c r="Q621" s="743"/>
      <c r="R621" s="742"/>
      <c r="S621" s="743"/>
      <c r="T621" s="76"/>
      <c r="U621" s="67">
        <f t="shared" ref="U621" si="83">IF(OR(D621="s",F621="s",H621="s",J621="s",L621="s",N621="s",P621="s",R621="s"), 0, IF(OR(D621="a",F621="a",H621="a",J621="a",L621="a",N621="a",P621="a",R621="a"),V621,0))</f>
        <v>0</v>
      </c>
      <c r="V621" s="417">
        <v>20</v>
      </c>
      <c r="W621" s="82">
        <f t="shared" ref="W621" si="84">COUNTIF(D621:S621,"a")+COUNTIF(D621:S621,"s")</f>
        <v>0</v>
      </c>
      <c r="X621" s="717"/>
      <c r="Y621" s="701"/>
      <c r="Z621" s="697" t="s">
        <v>656</v>
      </c>
      <c r="AA621" s="698"/>
    </row>
    <row r="622" spans="1:27" s="705" customFormat="1" ht="30" customHeight="1" x14ac:dyDescent="0.2">
      <c r="A622" s="421"/>
      <c r="B622" s="319"/>
      <c r="C622" s="627" t="s">
        <v>1702</v>
      </c>
      <c r="D622" s="1001" t="s">
        <v>1819</v>
      </c>
      <c r="E622" s="783"/>
      <c r="F622" s="783"/>
      <c r="G622" s="783"/>
      <c r="H622" s="783"/>
      <c r="I622" s="783"/>
      <c r="J622" s="783"/>
      <c r="K622" s="783"/>
      <c r="L622" s="783"/>
      <c r="M622" s="783"/>
      <c r="N622" s="783"/>
      <c r="O622" s="783"/>
      <c r="P622" s="783"/>
      <c r="Q622" s="783"/>
      <c r="R622" s="783"/>
      <c r="S622" s="783"/>
      <c r="T622" s="783"/>
      <c r="U622" s="783"/>
      <c r="V622" s="784"/>
      <c r="W622" s="82"/>
      <c r="X622" s="718"/>
      <c r="Y622" s="696"/>
      <c r="Z622" s="697"/>
      <c r="AA622" s="698"/>
    </row>
    <row r="623" spans="1:27" ht="45" customHeight="1" x14ac:dyDescent="0.2">
      <c r="A623" s="421"/>
      <c r="B623" s="310" t="s">
        <v>1260</v>
      </c>
      <c r="C623" s="517" t="s">
        <v>1706</v>
      </c>
      <c r="D623" s="742"/>
      <c r="E623" s="743"/>
      <c r="F623" s="742"/>
      <c r="G623" s="743"/>
      <c r="H623" s="742"/>
      <c r="I623" s="743"/>
      <c r="J623" s="742"/>
      <c r="K623" s="743"/>
      <c r="L623" s="742"/>
      <c r="M623" s="743"/>
      <c r="N623" s="742"/>
      <c r="O623" s="743"/>
      <c r="P623" s="742"/>
      <c r="Q623" s="743"/>
      <c r="R623" s="742"/>
      <c r="S623" s="743"/>
      <c r="T623" s="76"/>
      <c r="U623" s="67">
        <f t="shared" si="81"/>
        <v>0</v>
      </c>
      <c r="V623" s="417">
        <v>5</v>
      </c>
      <c r="W623" s="82">
        <f t="shared" si="82"/>
        <v>0</v>
      </c>
      <c r="X623" s="717"/>
      <c r="Y623" s="701"/>
      <c r="Z623" s="697"/>
      <c r="AA623" s="698"/>
    </row>
    <row r="624" spans="1:27" ht="45" customHeight="1" x14ac:dyDescent="0.2">
      <c r="A624" s="421"/>
      <c r="B624" s="310" t="s">
        <v>1701</v>
      </c>
      <c r="C624" s="517" t="s">
        <v>1707</v>
      </c>
      <c r="D624" s="742"/>
      <c r="E624" s="743"/>
      <c r="F624" s="742"/>
      <c r="G624" s="743"/>
      <c r="H624" s="742"/>
      <c r="I624" s="743"/>
      <c r="J624" s="742"/>
      <c r="K624" s="743"/>
      <c r="L624" s="742"/>
      <c r="M624" s="743"/>
      <c r="N624" s="742"/>
      <c r="O624" s="743"/>
      <c r="P624" s="742"/>
      <c r="Q624" s="743"/>
      <c r="R624" s="742"/>
      <c r="S624" s="743"/>
      <c r="T624" s="369"/>
      <c r="U624" s="107">
        <f t="shared" ref="U624" si="85">IF(OR(D624="s",F624="s",H624="s",J624="s",L624="s",N624="s",P624="s",R624="s"), 0, IF(OR(D624="a",F624="a",H624="a",J624="a",L624="a",N624="a",P624="a",R624="a"),V624,0))</f>
        <v>0</v>
      </c>
      <c r="V624" s="422">
        <v>5</v>
      </c>
      <c r="W624" s="82">
        <f t="shared" ref="W624" si="86">COUNTIF(D624:S624,"a")+COUNTIF(D624:S624,"s")</f>
        <v>0</v>
      </c>
      <c r="X624" s="726"/>
      <c r="Y624" s="699"/>
      <c r="Z624" s="697"/>
      <c r="AA624" s="698"/>
    </row>
    <row r="625" spans="1:27" ht="28.5" customHeight="1" thickBot="1" x14ac:dyDescent="0.25">
      <c r="A625" s="421" t="s">
        <v>482</v>
      </c>
      <c r="B625" s="310" t="s">
        <v>1818</v>
      </c>
      <c r="C625" s="516" t="s">
        <v>1820</v>
      </c>
      <c r="D625" s="961"/>
      <c r="E625" s="962"/>
      <c r="F625" s="961"/>
      <c r="G625" s="962"/>
      <c r="H625" s="961"/>
      <c r="I625" s="962"/>
      <c r="J625" s="961"/>
      <c r="K625" s="962"/>
      <c r="L625" s="961"/>
      <c r="M625" s="962"/>
      <c r="N625" s="961"/>
      <c r="O625" s="962"/>
      <c r="P625" s="961"/>
      <c r="Q625" s="962"/>
      <c r="R625" s="961"/>
      <c r="S625" s="962"/>
      <c r="T625" s="369"/>
      <c r="U625" s="107">
        <f t="shared" si="81"/>
        <v>0</v>
      </c>
      <c r="V625" s="422">
        <v>5</v>
      </c>
      <c r="W625" s="82">
        <f t="shared" si="82"/>
        <v>0</v>
      </c>
      <c r="X625" s="726"/>
      <c r="Y625" s="699"/>
      <c r="Z625" s="697"/>
      <c r="AA625" s="698"/>
    </row>
    <row r="626" spans="1:27" ht="21.6" customHeight="1" thickTop="1" thickBot="1" x14ac:dyDescent="0.25">
      <c r="A626" s="421" t="s">
        <v>272</v>
      </c>
      <c r="B626" s="80"/>
      <c r="C626" s="186"/>
      <c r="D626" s="750" t="s">
        <v>662</v>
      </c>
      <c r="E626" s="779"/>
      <c r="F626" s="779"/>
      <c r="G626" s="779"/>
      <c r="H626" s="779"/>
      <c r="I626" s="779"/>
      <c r="J626" s="779"/>
      <c r="K626" s="779"/>
      <c r="L626" s="779"/>
      <c r="M626" s="779"/>
      <c r="N626" s="779"/>
      <c r="O626" s="779"/>
      <c r="P626" s="779"/>
      <c r="Q626" s="779"/>
      <c r="R626" s="779"/>
      <c r="S626" s="779"/>
      <c r="T626" s="780"/>
      <c r="U626" s="2">
        <f>SUM(U616:U625)</f>
        <v>0</v>
      </c>
      <c r="V626" s="418">
        <f>SUM(V616:V625)</f>
        <v>95</v>
      </c>
      <c r="W626" s="82"/>
      <c r="X626" s="721"/>
      <c r="Y626" s="701"/>
      <c r="Z626" s="697"/>
      <c r="AA626" s="698"/>
    </row>
    <row r="627" spans="1:27" ht="21.6" customHeight="1" thickBot="1" x14ac:dyDescent="0.25">
      <c r="A627" s="411" t="s">
        <v>272</v>
      </c>
      <c r="B627" s="115"/>
      <c r="C627" s="466"/>
      <c r="D627" s="740"/>
      <c r="E627" s="960"/>
      <c r="F627" s="834">
        <v>60</v>
      </c>
      <c r="G627" s="746"/>
      <c r="H627" s="746"/>
      <c r="I627" s="746"/>
      <c r="J627" s="746"/>
      <c r="K627" s="746"/>
      <c r="L627" s="746"/>
      <c r="M627" s="746"/>
      <c r="N627" s="746"/>
      <c r="O627" s="746"/>
      <c r="P627" s="746"/>
      <c r="Q627" s="746"/>
      <c r="R627" s="746"/>
      <c r="S627" s="746"/>
      <c r="T627" s="746"/>
      <c r="U627" s="746"/>
      <c r="V627" s="747"/>
      <c r="W627" s="82"/>
      <c r="Y627" s="701"/>
      <c r="Z627" s="697"/>
      <c r="AA627" s="698"/>
    </row>
    <row r="628" spans="1:27" s="694" customFormat="1" ht="33" customHeight="1" thickBot="1" x14ac:dyDescent="0.55000000000000004">
      <c r="A628" s="408"/>
      <c r="B628" s="345">
        <v>9000</v>
      </c>
      <c r="C628" s="734" t="s">
        <v>1757</v>
      </c>
      <c r="D628" s="835"/>
      <c r="E628" s="835"/>
      <c r="F628" s="835"/>
      <c r="G628" s="835"/>
      <c r="H628" s="835"/>
      <c r="I628" s="835"/>
      <c r="J628" s="835"/>
      <c r="K628" s="835"/>
      <c r="L628" s="835"/>
      <c r="M628" s="835"/>
      <c r="N628" s="835"/>
      <c r="O628" s="835"/>
      <c r="P628" s="835"/>
      <c r="Q628" s="835"/>
      <c r="R628" s="835"/>
      <c r="S628" s="835"/>
      <c r="T628" s="835"/>
      <c r="U628" s="835"/>
      <c r="V628" s="836"/>
      <c r="W628" s="62"/>
      <c r="X628" s="719"/>
      <c r="Y628" s="701"/>
      <c r="Z628" s="697"/>
      <c r="AA628" s="698"/>
    </row>
    <row r="629" spans="1:27" s="694" customFormat="1" ht="30" customHeight="1" thickBot="1" x14ac:dyDescent="0.55000000000000004">
      <c r="A629" s="421"/>
      <c r="B629" s="322" t="s">
        <v>1641</v>
      </c>
      <c r="C629" s="118" t="s">
        <v>1642</v>
      </c>
      <c r="D629" s="56"/>
      <c r="E629" s="59"/>
      <c r="F629" s="56"/>
      <c r="G629" s="60"/>
      <c r="H629" s="57"/>
      <c r="I629" s="59"/>
      <c r="J629" s="56"/>
      <c r="K629" s="60"/>
      <c r="L629" s="57"/>
      <c r="M629" s="59"/>
      <c r="N629" s="56"/>
      <c r="O629" s="60"/>
      <c r="P629" s="59"/>
      <c r="Q629" s="60"/>
      <c r="R629" s="56"/>
      <c r="S629" s="61"/>
      <c r="T629" s="58"/>
      <c r="U629" s="58"/>
      <c r="V629" s="58"/>
      <c r="W629" s="62"/>
      <c r="X629" s="719"/>
      <c r="Y629" s="696"/>
      <c r="Z629" s="697"/>
      <c r="AA629" s="698"/>
    </row>
    <row r="630" spans="1:27" s="694" customFormat="1" ht="27.95" customHeight="1" x14ac:dyDescent="0.2">
      <c r="A630" s="421"/>
      <c r="B630" s="310" t="s">
        <v>1643</v>
      </c>
      <c r="C630" s="130" t="s">
        <v>1652</v>
      </c>
      <c r="D630" s="748"/>
      <c r="E630" s="749"/>
      <c r="F630" s="748"/>
      <c r="G630" s="749"/>
      <c r="H630" s="748"/>
      <c r="I630" s="749"/>
      <c r="J630" s="748"/>
      <c r="K630" s="749"/>
      <c r="L630" s="748"/>
      <c r="M630" s="749"/>
      <c r="N630" s="748"/>
      <c r="O630" s="749"/>
      <c r="P630" s="748"/>
      <c r="Q630" s="749"/>
      <c r="R630" s="748"/>
      <c r="S630" s="749"/>
      <c r="T630" s="76"/>
      <c r="U630" s="70">
        <f t="shared" ref="U630:U637" si="87">IF(OR(D630="s",F630="s",H630="s",J630="s",L630="s",N630="s",P630="s",R630="s"), 0, IF(OR(D630="a",F630="a",H630="a",J630="a",L630="a",N630="a",P630="a",R630="a"),V630,0))</f>
        <v>0</v>
      </c>
      <c r="V630" s="420">
        <v>10</v>
      </c>
      <c r="W630" s="82">
        <f t="shared" ref="W630:W637" si="88">COUNTIF(D630:S630,"a")+COUNTIF(D630:S630,"s")</f>
        <v>0</v>
      </c>
      <c r="X630" s="717"/>
      <c r="Y630" s="696"/>
      <c r="Z630" s="697"/>
      <c r="AA630" s="698"/>
    </row>
    <row r="631" spans="1:27" s="694" customFormat="1" ht="45" customHeight="1" x14ac:dyDescent="0.2">
      <c r="A631" s="421"/>
      <c r="B631" s="310" t="s">
        <v>1644</v>
      </c>
      <c r="C631" s="124" t="s">
        <v>1755</v>
      </c>
      <c r="D631" s="744"/>
      <c r="E631" s="745"/>
      <c r="F631" s="744"/>
      <c r="G631" s="745"/>
      <c r="H631" s="744"/>
      <c r="I631" s="745"/>
      <c r="J631" s="744"/>
      <c r="K631" s="745"/>
      <c r="L631" s="744"/>
      <c r="M631" s="745"/>
      <c r="N631" s="744"/>
      <c r="O631" s="745"/>
      <c r="P631" s="744"/>
      <c r="Q631" s="745"/>
      <c r="R631" s="744"/>
      <c r="S631" s="745"/>
      <c r="T631" s="76"/>
      <c r="U631" s="71">
        <f t="shared" ref="U631" si="89">IF(OR(D631="s",F631="s",H631="s",J631="s",L631="s",N631="s",P631="s",R631="s"), 0, IF(OR(D631="a",F631="a",H631="a",J631="a",L631="a",N631="a",P631="a",R631="a"),V631,0))</f>
        <v>0</v>
      </c>
      <c r="V631" s="420">
        <v>10</v>
      </c>
      <c r="W631" s="82">
        <f t="shared" ref="W631" si="90">COUNTIF(D631:S631,"a")+COUNTIF(D631:S631,"s")</f>
        <v>0</v>
      </c>
      <c r="X631" s="717"/>
      <c r="Y631" s="696"/>
      <c r="Z631" s="697"/>
      <c r="AA631" s="698"/>
    </row>
    <row r="632" spans="1:27" s="694" customFormat="1" ht="27.95" customHeight="1" x14ac:dyDescent="0.2">
      <c r="A632" s="421"/>
      <c r="B632" s="310" t="s">
        <v>1645</v>
      </c>
      <c r="C632" s="130" t="s">
        <v>1653</v>
      </c>
      <c r="D632" s="742"/>
      <c r="E632" s="743"/>
      <c r="F632" s="742"/>
      <c r="G632" s="743"/>
      <c r="H632" s="742"/>
      <c r="I632" s="743"/>
      <c r="J632" s="742"/>
      <c r="K632" s="743"/>
      <c r="L632" s="742"/>
      <c r="M632" s="743"/>
      <c r="N632" s="742"/>
      <c r="O632" s="743"/>
      <c r="P632" s="742"/>
      <c r="Q632" s="743"/>
      <c r="R632" s="742"/>
      <c r="S632" s="743"/>
      <c r="T632" s="76"/>
      <c r="U632" s="67">
        <f t="shared" si="87"/>
        <v>0</v>
      </c>
      <c r="V632" s="420">
        <v>10</v>
      </c>
      <c r="W632" s="82">
        <f t="shared" si="88"/>
        <v>0</v>
      </c>
      <c r="X632" s="717"/>
      <c r="AA632" s="698"/>
    </row>
    <row r="633" spans="1:27" s="694" customFormat="1" ht="45" customHeight="1" x14ac:dyDescent="0.2">
      <c r="A633" s="421"/>
      <c r="B633" s="310" t="s">
        <v>1646</v>
      </c>
      <c r="C633" s="124" t="s">
        <v>1654</v>
      </c>
      <c r="D633" s="742"/>
      <c r="E633" s="743"/>
      <c r="F633" s="742"/>
      <c r="G633" s="743"/>
      <c r="H633" s="742"/>
      <c r="I633" s="743"/>
      <c r="J633" s="742"/>
      <c r="K633" s="743"/>
      <c r="L633" s="742"/>
      <c r="M633" s="743"/>
      <c r="N633" s="742"/>
      <c r="O633" s="743"/>
      <c r="P633" s="742"/>
      <c r="Q633" s="743"/>
      <c r="R633" s="742"/>
      <c r="S633" s="743"/>
      <c r="T633" s="76"/>
      <c r="U633" s="67">
        <f t="shared" si="87"/>
        <v>0</v>
      </c>
      <c r="V633" s="420">
        <v>10</v>
      </c>
      <c r="W633" s="82">
        <f t="shared" si="88"/>
        <v>0</v>
      </c>
      <c r="X633" s="717"/>
      <c r="AA633" s="698"/>
    </row>
    <row r="634" spans="1:27" s="694" customFormat="1" ht="27.95" customHeight="1" x14ac:dyDescent="0.2">
      <c r="A634" s="421"/>
      <c r="B634" s="310" t="s">
        <v>1647</v>
      </c>
      <c r="C634" s="130" t="s">
        <v>1655</v>
      </c>
      <c r="D634" s="742"/>
      <c r="E634" s="743"/>
      <c r="F634" s="742"/>
      <c r="G634" s="743"/>
      <c r="H634" s="742"/>
      <c r="I634" s="743"/>
      <c r="J634" s="742"/>
      <c r="K634" s="743"/>
      <c r="L634" s="742"/>
      <c r="M634" s="743"/>
      <c r="N634" s="742"/>
      <c r="O634" s="743"/>
      <c r="P634" s="742"/>
      <c r="Q634" s="743"/>
      <c r="R634" s="742"/>
      <c r="S634" s="743"/>
      <c r="T634" s="76"/>
      <c r="U634" s="67">
        <f t="shared" si="87"/>
        <v>0</v>
      </c>
      <c r="V634" s="420">
        <v>10</v>
      </c>
      <c r="W634" s="82">
        <f t="shared" si="88"/>
        <v>0</v>
      </c>
      <c r="X634" s="717"/>
      <c r="AA634" s="698"/>
    </row>
    <row r="635" spans="1:27" s="694" customFormat="1" ht="27.95" customHeight="1" x14ac:dyDescent="0.2">
      <c r="A635" s="421"/>
      <c r="B635" s="310" t="s">
        <v>1648</v>
      </c>
      <c r="C635" s="124" t="s">
        <v>1756</v>
      </c>
      <c r="D635" s="742"/>
      <c r="E635" s="743"/>
      <c r="F635" s="742"/>
      <c r="G635" s="743"/>
      <c r="H635" s="742"/>
      <c r="I635" s="743"/>
      <c r="J635" s="742"/>
      <c r="K635" s="743"/>
      <c r="L635" s="742"/>
      <c r="M635" s="743"/>
      <c r="N635" s="742"/>
      <c r="O635" s="743"/>
      <c r="P635" s="742"/>
      <c r="Q635" s="743"/>
      <c r="R635" s="742"/>
      <c r="S635" s="743"/>
      <c r="T635" s="76"/>
      <c r="U635" s="67">
        <f t="shared" ref="U635" si="91">IF(OR(D635="s",F635="s",H635="s",J635="s",L635="s",N635="s",P635="s",R635="s"), 0, IF(OR(D635="a",F635="a",H635="a",J635="a",L635="a",N635="a",P635="a",R635="a"),V635,0))</f>
        <v>0</v>
      </c>
      <c r="V635" s="420">
        <v>10</v>
      </c>
      <c r="W635" s="82">
        <f t="shared" ref="W635" si="92">COUNTIF(D635:S635,"a")+COUNTIF(D635:S635,"s")</f>
        <v>0</v>
      </c>
      <c r="X635" s="717"/>
      <c r="AA635" s="698"/>
    </row>
    <row r="636" spans="1:27" s="694" customFormat="1" ht="45" customHeight="1" x14ac:dyDescent="0.2">
      <c r="A636" s="421"/>
      <c r="B636" s="310" t="s">
        <v>1649</v>
      </c>
      <c r="C636" s="124" t="s">
        <v>1656</v>
      </c>
      <c r="D636" s="742"/>
      <c r="E636" s="743"/>
      <c r="F636" s="742"/>
      <c r="G636" s="743"/>
      <c r="H636" s="742"/>
      <c r="I636" s="743"/>
      <c r="J636" s="742"/>
      <c r="K636" s="743"/>
      <c r="L636" s="742"/>
      <c r="M636" s="743"/>
      <c r="N636" s="742"/>
      <c r="O636" s="743"/>
      <c r="P636" s="742"/>
      <c r="Q636" s="743"/>
      <c r="R636" s="742"/>
      <c r="S636" s="743"/>
      <c r="T636" s="76"/>
      <c r="U636" s="67">
        <f t="shared" si="87"/>
        <v>0</v>
      </c>
      <c r="V636" s="420">
        <v>10</v>
      </c>
      <c r="W636" s="82">
        <f t="shared" si="88"/>
        <v>0</v>
      </c>
      <c r="X636" s="717"/>
      <c r="AA636" s="698"/>
    </row>
    <row r="637" spans="1:27" s="694" customFormat="1" ht="27.95" customHeight="1" thickBot="1" x14ac:dyDescent="0.25">
      <c r="A637" s="421"/>
      <c r="B637" s="310" t="s">
        <v>1650</v>
      </c>
      <c r="C637" s="130" t="s">
        <v>1657</v>
      </c>
      <c r="D637" s="751"/>
      <c r="E637" s="752"/>
      <c r="F637" s="751"/>
      <c r="G637" s="752"/>
      <c r="H637" s="751"/>
      <c r="I637" s="752"/>
      <c r="J637" s="751"/>
      <c r="K637" s="752"/>
      <c r="L637" s="751"/>
      <c r="M637" s="752"/>
      <c r="N637" s="751"/>
      <c r="O637" s="752"/>
      <c r="P637" s="751"/>
      <c r="Q637" s="752"/>
      <c r="R637" s="751"/>
      <c r="S637" s="752"/>
      <c r="T637" s="76"/>
      <c r="U637" s="68">
        <f t="shared" si="87"/>
        <v>0</v>
      </c>
      <c r="V637" s="420">
        <v>10</v>
      </c>
      <c r="W637" s="82">
        <f t="shared" si="88"/>
        <v>0</v>
      </c>
      <c r="X637" s="717"/>
      <c r="AA637" s="698"/>
    </row>
    <row r="638" spans="1:27" ht="21" customHeight="1" thickTop="1" thickBot="1" x14ac:dyDescent="0.25">
      <c r="A638" s="421"/>
      <c r="B638" s="79"/>
      <c r="C638" s="191"/>
      <c r="D638" s="750" t="s">
        <v>662</v>
      </c>
      <c r="E638" s="779"/>
      <c r="F638" s="779"/>
      <c r="G638" s="779"/>
      <c r="H638" s="779"/>
      <c r="I638" s="779"/>
      <c r="J638" s="779"/>
      <c r="K638" s="779"/>
      <c r="L638" s="779"/>
      <c r="M638" s="779"/>
      <c r="N638" s="779"/>
      <c r="O638" s="779"/>
      <c r="P638" s="779"/>
      <c r="Q638" s="779"/>
      <c r="R638" s="779"/>
      <c r="S638" s="779"/>
      <c r="T638" s="780"/>
      <c r="U638" s="1">
        <f>SUM(U630:U637)</f>
        <v>0</v>
      </c>
      <c r="V638" s="418">
        <f>SUM(V630:V637)</f>
        <v>80</v>
      </c>
      <c r="W638" s="82"/>
      <c r="X638" s="721"/>
      <c r="AA638" s="698"/>
    </row>
    <row r="639" spans="1:27" ht="21" customHeight="1" thickBot="1" x14ac:dyDescent="0.25">
      <c r="A639" s="411"/>
      <c r="B639" s="189"/>
      <c r="C639" s="190"/>
      <c r="D639" s="740"/>
      <c r="E639" s="960"/>
      <c r="F639" s="837">
        <v>0</v>
      </c>
      <c r="G639" s="838"/>
      <c r="H639" s="838"/>
      <c r="I639" s="838"/>
      <c r="J639" s="838"/>
      <c r="K639" s="838"/>
      <c r="L639" s="838"/>
      <c r="M639" s="838"/>
      <c r="N639" s="838"/>
      <c r="O639" s="838"/>
      <c r="P639" s="838"/>
      <c r="Q639" s="838"/>
      <c r="R639" s="838"/>
      <c r="S639" s="838"/>
      <c r="T639" s="838"/>
      <c r="U639" s="838"/>
      <c r="V639" s="839"/>
      <c r="W639" s="82"/>
      <c r="AA639" s="698"/>
    </row>
    <row r="640" spans="1:27" ht="21" customHeight="1" x14ac:dyDescent="0.2">
      <c r="A640" s="357"/>
      <c r="B640" s="28"/>
      <c r="C640" s="358"/>
      <c r="D640" s="28"/>
      <c r="E640" s="28"/>
      <c r="F640" s="28"/>
      <c r="G640" s="28"/>
      <c r="H640" s="28"/>
      <c r="I640" s="28"/>
      <c r="J640" s="28"/>
      <c r="K640" s="28"/>
      <c r="L640" s="28"/>
      <c r="M640" s="28"/>
      <c r="N640" s="28"/>
      <c r="O640" s="28"/>
      <c r="P640" s="28"/>
      <c r="Q640" s="28"/>
      <c r="R640" s="28"/>
      <c r="S640" s="28"/>
      <c r="T640" s="28"/>
      <c r="U640" s="28"/>
      <c r="V640" s="28"/>
      <c r="W640" s="28"/>
      <c r="X640" s="716"/>
      <c r="AA640" s="698"/>
    </row>
    <row r="641" spans="1:27" ht="27.75" x14ac:dyDescent="0.2">
      <c r="A641" s="397" t="s">
        <v>47</v>
      </c>
      <c r="B641" s="397"/>
      <c r="C641" s="395"/>
      <c r="D641" s="396"/>
      <c r="E641" s="396"/>
      <c r="F641" s="396"/>
      <c r="G641" s="396"/>
      <c r="H641" s="396"/>
      <c r="I641" s="396"/>
      <c r="J641" s="396"/>
      <c r="K641" s="396"/>
      <c r="L641" s="396"/>
      <c r="M641" s="396"/>
      <c r="N641" s="396"/>
      <c r="O641" s="396"/>
      <c r="P641" s="396"/>
      <c r="Q641" s="396"/>
      <c r="R641" s="396"/>
      <c r="S641" s="396"/>
      <c r="T641" s="396"/>
      <c r="U641" s="396"/>
      <c r="V641" s="396"/>
      <c r="W641" s="396"/>
      <c r="X641" s="716"/>
      <c r="AA641" s="698"/>
    </row>
  </sheetData>
  <sheetProtection algorithmName="SHA-512" hashValue="Em03XUNYWRFDaNJXrTkaj41HYx5vsclktVowKmguMqwYLcjaRAq4s7ed2z5WFAL/nC0HirkXDoKmDByeQOjfAg==" saltValue="aPcXab9KugGxrzIIRkW5Hg==" spinCount="100000" sheet="1" objects="1" scenarios="1"/>
  <mergeCells count="3331">
    <mergeCell ref="D624:E624"/>
    <mergeCell ref="F624:G624"/>
    <mergeCell ref="H624:I624"/>
    <mergeCell ref="J624:K624"/>
    <mergeCell ref="L624:M624"/>
    <mergeCell ref="N624:O624"/>
    <mergeCell ref="P624:Q624"/>
    <mergeCell ref="R624:S624"/>
    <mergeCell ref="F410:G410"/>
    <mergeCell ref="H410:I410"/>
    <mergeCell ref="J410:K410"/>
    <mergeCell ref="L410:M410"/>
    <mergeCell ref="N410:O410"/>
    <mergeCell ref="P410:Q410"/>
    <mergeCell ref="R410:S410"/>
    <mergeCell ref="D411:E411"/>
    <mergeCell ref="F411:G411"/>
    <mergeCell ref="H411:I411"/>
    <mergeCell ref="J411:K411"/>
    <mergeCell ref="L411:M411"/>
    <mergeCell ref="N411:O411"/>
    <mergeCell ref="J417:K417"/>
    <mergeCell ref="L417:M417"/>
    <mergeCell ref="N417:O417"/>
    <mergeCell ref="P417:Q417"/>
    <mergeCell ref="R417:S417"/>
    <mergeCell ref="D418:E418"/>
    <mergeCell ref="D461:E461"/>
    <mergeCell ref="R458:S458"/>
    <mergeCell ref="D454:E454"/>
    <mergeCell ref="D462:T462"/>
    <mergeCell ref="R461:S461"/>
    <mergeCell ref="F468:G468"/>
    <mergeCell ref="F447:G447"/>
    <mergeCell ref="L440:M440"/>
    <mergeCell ref="D453:E453"/>
    <mergeCell ref="D458:E458"/>
    <mergeCell ref="D448:T448"/>
    <mergeCell ref="H418:I418"/>
    <mergeCell ref="F437:G437"/>
    <mergeCell ref="J413:K413"/>
    <mergeCell ref="H458:I458"/>
    <mergeCell ref="D427:E427"/>
    <mergeCell ref="H506:I506"/>
    <mergeCell ref="D491:V491"/>
    <mergeCell ref="H549:I549"/>
    <mergeCell ref="R532:S532"/>
    <mergeCell ref="L474:M474"/>
    <mergeCell ref="D481:E481"/>
    <mergeCell ref="D475:T475"/>
    <mergeCell ref="H478:I478"/>
    <mergeCell ref="D494:V494"/>
    <mergeCell ref="F501:G501"/>
    <mergeCell ref="D443:E443"/>
    <mergeCell ref="L470:M470"/>
    <mergeCell ref="R446:S446"/>
    <mergeCell ref="N413:O413"/>
    <mergeCell ref="P413:Q413"/>
    <mergeCell ref="R413:S413"/>
    <mergeCell ref="D414:E414"/>
    <mergeCell ref="F414:G414"/>
    <mergeCell ref="H414:I414"/>
    <mergeCell ref="R552:S552"/>
    <mergeCell ref="J545:K545"/>
    <mergeCell ref="P479:Q479"/>
    <mergeCell ref="D474:E474"/>
    <mergeCell ref="P487:Q487"/>
    <mergeCell ref="R487:S487"/>
    <mergeCell ref="J497:K497"/>
    <mergeCell ref="L482:M482"/>
    <mergeCell ref="P454:Q454"/>
    <mergeCell ref="H487:I487"/>
    <mergeCell ref="D488:T488"/>
    <mergeCell ref="D471:T471"/>
    <mergeCell ref="R482:S482"/>
    <mergeCell ref="H501:I501"/>
    <mergeCell ref="N492:O492"/>
    <mergeCell ref="H479:I479"/>
    <mergeCell ref="F486:G486"/>
    <mergeCell ref="R486:S486"/>
    <mergeCell ref="D469:E469"/>
    <mergeCell ref="J498:K498"/>
    <mergeCell ref="J493:K493"/>
    <mergeCell ref="J482:K482"/>
    <mergeCell ref="D478:E478"/>
    <mergeCell ref="N478:O478"/>
    <mergeCell ref="F481:G481"/>
    <mergeCell ref="L479:M479"/>
    <mergeCell ref="R478:S478"/>
    <mergeCell ref="P478:Q478"/>
    <mergeCell ref="N481:O481"/>
    <mergeCell ref="D501:E501"/>
    <mergeCell ref="D500:E500"/>
    <mergeCell ref="L504:M504"/>
    <mergeCell ref="J414:K414"/>
    <mergeCell ref="L414:M414"/>
    <mergeCell ref="N414:O414"/>
    <mergeCell ref="P414:Q414"/>
    <mergeCell ref="D420:E420"/>
    <mergeCell ref="F420:G420"/>
    <mergeCell ref="H420:I420"/>
    <mergeCell ref="J420:K420"/>
    <mergeCell ref="L420:M420"/>
    <mergeCell ref="N420:O420"/>
    <mergeCell ref="J469:K469"/>
    <mergeCell ref="R467:S467"/>
    <mergeCell ref="N451:O451"/>
    <mergeCell ref="F418:G418"/>
    <mergeCell ref="J418:K418"/>
    <mergeCell ref="R420:S420"/>
    <mergeCell ref="D416:V416"/>
    <mergeCell ref="R414:S414"/>
    <mergeCell ref="D415:E415"/>
    <mergeCell ref="F415:G415"/>
    <mergeCell ref="H415:I415"/>
    <mergeCell ref="J415:K415"/>
    <mergeCell ref="L415:M415"/>
    <mergeCell ref="N415:O415"/>
    <mergeCell ref="P415:Q415"/>
    <mergeCell ref="R415:S415"/>
    <mergeCell ref="L466:M466"/>
    <mergeCell ref="H460:I460"/>
    <mergeCell ref="R466:S466"/>
    <mergeCell ref="F469:G469"/>
    <mergeCell ref="D424:E424"/>
    <mergeCell ref="R452:S452"/>
    <mergeCell ref="P436:Q436"/>
    <mergeCell ref="H436:I436"/>
    <mergeCell ref="N474:O474"/>
    <mergeCell ref="D487:E487"/>
    <mergeCell ref="J492:K492"/>
    <mergeCell ref="P431:Q431"/>
    <mergeCell ref="J429:K429"/>
    <mergeCell ref="D433:E433"/>
    <mergeCell ref="H459:I459"/>
    <mergeCell ref="J479:K479"/>
    <mergeCell ref="N480:O480"/>
    <mergeCell ref="D479:E479"/>
    <mergeCell ref="D467:E467"/>
    <mergeCell ref="H474:I474"/>
    <mergeCell ref="J424:K424"/>
    <mergeCell ref="J461:K461"/>
    <mergeCell ref="D408:V408"/>
    <mergeCell ref="D417:E417"/>
    <mergeCell ref="F417:G417"/>
    <mergeCell ref="H417:I417"/>
    <mergeCell ref="P419:Q419"/>
    <mergeCell ref="R419:S419"/>
    <mergeCell ref="D426:T426"/>
    <mergeCell ref="R436:S436"/>
    <mergeCell ref="R431:S431"/>
    <mergeCell ref="F431:G431"/>
    <mergeCell ref="D429:E429"/>
    <mergeCell ref="L429:M429"/>
    <mergeCell ref="P429:Q429"/>
    <mergeCell ref="D409:E409"/>
    <mergeCell ref="P411:Q411"/>
    <mergeCell ref="R411:S411"/>
    <mergeCell ref="D396:E396"/>
    <mergeCell ref="F396:G396"/>
    <mergeCell ref="H396:I396"/>
    <mergeCell ref="J396:K396"/>
    <mergeCell ref="D425:E425"/>
    <mergeCell ref="F425:G425"/>
    <mergeCell ref="H425:I425"/>
    <mergeCell ref="F398:G398"/>
    <mergeCell ref="H398:I398"/>
    <mergeCell ref="N548:O548"/>
    <mergeCell ref="J550:K550"/>
    <mergeCell ref="N533:O533"/>
    <mergeCell ref="F535:V535"/>
    <mergeCell ref="H497:I497"/>
    <mergeCell ref="P492:Q492"/>
    <mergeCell ref="D492:E492"/>
    <mergeCell ref="H515:I515"/>
    <mergeCell ref="N514:O514"/>
    <mergeCell ref="D533:E533"/>
    <mergeCell ref="J532:K532"/>
    <mergeCell ref="R495:S495"/>
    <mergeCell ref="R496:S496"/>
    <mergeCell ref="D419:E419"/>
    <mergeCell ref="F419:G419"/>
    <mergeCell ref="H419:I419"/>
    <mergeCell ref="J419:K419"/>
    <mergeCell ref="L469:M469"/>
    <mergeCell ref="L481:M481"/>
    <mergeCell ref="L437:M437"/>
    <mergeCell ref="P437:Q437"/>
    <mergeCell ref="L419:M419"/>
    <mergeCell ref="N419:O419"/>
    <mergeCell ref="D412:V412"/>
    <mergeCell ref="J436:K436"/>
    <mergeCell ref="D431:E431"/>
    <mergeCell ref="F436:G436"/>
    <mergeCell ref="N424:O424"/>
    <mergeCell ref="H429:I429"/>
    <mergeCell ref="F433:V433"/>
    <mergeCell ref="L418:M418"/>
    <mergeCell ref="N418:O418"/>
    <mergeCell ref="P418:Q418"/>
    <mergeCell ref="R418:S418"/>
    <mergeCell ref="D413:E413"/>
    <mergeCell ref="F413:G413"/>
    <mergeCell ref="H413:I413"/>
    <mergeCell ref="P420:Q420"/>
    <mergeCell ref="L413:M413"/>
    <mergeCell ref="J610:K610"/>
    <mergeCell ref="H572:I572"/>
    <mergeCell ref="N572:O572"/>
    <mergeCell ref="N574:O574"/>
    <mergeCell ref="N601:O601"/>
    <mergeCell ref="L600:M600"/>
    <mergeCell ref="F601:G601"/>
    <mergeCell ref="D563:E563"/>
    <mergeCell ref="D556:E556"/>
    <mergeCell ref="R553:S553"/>
    <mergeCell ref="N553:O553"/>
    <mergeCell ref="F559:G559"/>
    <mergeCell ref="P561:Q561"/>
    <mergeCell ref="N554:O554"/>
    <mergeCell ref="H554:I554"/>
    <mergeCell ref="R610:S610"/>
    <mergeCell ref="D583:E583"/>
    <mergeCell ref="N596:O596"/>
    <mergeCell ref="D597:E597"/>
    <mergeCell ref="J597:K597"/>
    <mergeCell ref="D554:E554"/>
    <mergeCell ref="J553:K553"/>
    <mergeCell ref="R573:S573"/>
    <mergeCell ref="J571:K571"/>
    <mergeCell ref="D565:E565"/>
    <mergeCell ref="J554:K554"/>
    <mergeCell ref="L571:M571"/>
    <mergeCell ref="L554:M554"/>
    <mergeCell ref="R579:S579"/>
    <mergeCell ref="F597:G597"/>
    <mergeCell ref="H560:I560"/>
    <mergeCell ref="N621:O621"/>
    <mergeCell ref="P621:Q621"/>
    <mergeCell ref="R621:S621"/>
    <mergeCell ref="D607:E607"/>
    <mergeCell ref="L607:M607"/>
    <mergeCell ref="L578:M578"/>
    <mergeCell ref="D610:E610"/>
    <mergeCell ref="F608:G608"/>
    <mergeCell ref="N608:O608"/>
    <mergeCell ref="D620:E620"/>
    <mergeCell ref="N600:O600"/>
    <mergeCell ref="P610:Q610"/>
    <mergeCell ref="L616:M616"/>
    <mergeCell ref="H607:I607"/>
    <mergeCell ref="D612:T612"/>
    <mergeCell ref="N616:O616"/>
    <mergeCell ref="D588:E588"/>
    <mergeCell ref="F583:V583"/>
    <mergeCell ref="F600:G600"/>
    <mergeCell ref="D593:E593"/>
    <mergeCell ref="P591:Q591"/>
    <mergeCell ref="N617:O617"/>
    <mergeCell ref="P617:Q617"/>
    <mergeCell ref="F590:G590"/>
    <mergeCell ref="D592:T592"/>
    <mergeCell ref="D615:V615"/>
    <mergeCell ref="D618:V618"/>
    <mergeCell ref="N620:O620"/>
    <mergeCell ref="F611:G611"/>
    <mergeCell ref="H619:I619"/>
    <mergeCell ref="F617:G617"/>
    <mergeCell ref="D616:E616"/>
    <mergeCell ref="H591:I591"/>
    <mergeCell ref="J586:K586"/>
    <mergeCell ref="L608:M608"/>
    <mergeCell ref="N609:O609"/>
    <mergeCell ref="P609:Q609"/>
    <mergeCell ref="N610:O610"/>
    <mergeCell ref="H611:I611"/>
    <mergeCell ref="H589:I589"/>
    <mergeCell ref="H587:I587"/>
    <mergeCell ref="P598:Q598"/>
    <mergeCell ref="L598:M598"/>
    <mergeCell ref="J595:K595"/>
    <mergeCell ref="R597:S597"/>
    <mergeCell ref="P596:Q596"/>
    <mergeCell ref="L589:M589"/>
    <mergeCell ref="F605:V605"/>
    <mergeCell ref="N437:O437"/>
    <mergeCell ref="F610:G610"/>
    <mergeCell ref="R548:S548"/>
    <mergeCell ref="F572:G572"/>
    <mergeCell ref="F573:G573"/>
    <mergeCell ref="N571:O571"/>
    <mergeCell ref="D548:E548"/>
    <mergeCell ref="H617:I617"/>
    <mergeCell ref="R587:S587"/>
    <mergeCell ref="D617:E617"/>
    <mergeCell ref="J573:K573"/>
    <mergeCell ref="D603:E603"/>
    <mergeCell ref="J619:K619"/>
    <mergeCell ref="F458:G458"/>
    <mergeCell ref="R451:S451"/>
    <mergeCell ref="J458:K458"/>
    <mergeCell ref="L553:M553"/>
    <mergeCell ref="R591:S591"/>
    <mergeCell ref="N579:O579"/>
    <mergeCell ref="D587:E587"/>
    <mergeCell ref="H586:I586"/>
    <mergeCell ref="N586:O586"/>
    <mergeCell ref="P587:Q587"/>
    <mergeCell ref="D582:T582"/>
    <mergeCell ref="J562:K562"/>
    <mergeCell ref="R546:S546"/>
    <mergeCell ref="P603:Q603"/>
    <mergeCell ref="H552:I552"/>
    <mergeCell ref="P602:Q602"/>
    <mergeCell ref="R602:S602"/>
    <mergeCell ref="D546:E546"/>
    <mergeCell ref="N590:O590"/>
    <mergeCell ref="H129:I129"/>
    <mergeCell ref="N150:O150"/>
    <mergeCell ref="P150:Q150"/>
    <mergeCell ref="D148:E148"/>
    <mergeCell ref="D145:E145"/>
    <mergeCell ref="H137:I137"/>
    <mergeCell ref="N146:O146"/>
    <mergeCell ref="J143:K143"/>
    <mergeCell ref="L547:M547"/>
    <mergeCell ref="H558:I558"/>
    <mergeCell ref="P607:Q607"/>
    <mergeCell ref="L601:M601"/>
    <mergeCell ref="H588:I588"/>
    <mergeCell ref="L586:M586"/>
    <mergeCell ref="P554:Q554"/>
    <mergeCell ref="P553:Q553"/>
    <mergeCell ref="P558:Q558"/>
    <mergeCell ref="H553:I553"/>
    <mergeCell ref="F571:G571"/>
    <mergeCell ref="H424:I424"/>
    <mergeCell ref="D432:T432"/>
    <mergeCell ref="J425:K425"/>
    <mergeCell ref="F424:G424"/>
    <mergeCell ref="D422:E422"/>
    <mergeCell ref="N438:O438"/>
    <mergeCell ref="H431:I431"/>
    <mergeCell ref="H451:I451"/>
    <mergeCell ref="F453:G453"/>
    <mergeCell ref="H495:I495"/>
    <mergeCell ref="F492:G492"/>
    <mergeCell ref="R447:S447"/>
    <mergeCell ref="L506:M506"/>
    <mergeCell ref="J130:K130"/>
    <mergeCell ref="L136:M136"/>
    <mergeCell ref="J120:K120"/>
    <mergeCell ref="P120:Q120"/>
    <mergeCell ref="H134:I134"/>
    <mergeCell ref="N142:O142"/>
    <mergeCell ref="R142:S142"/>
    <mergeCell ref="L142:M142"/>
    <mergeCell ref="D138:T138"/>
    <mergeCell ref="H120:I120"/>
    <mergeCell ref="R152:S152"/>
    <mergeCell ref="F153:G153"/>
    <mergeCell ref="D150:E150"/>
    <mergeCell ref="H153:I153"/>
    <mergeCell ref="F142:G142"/>
    <mergeCell ref="H143:I143"/>
    <mergeCell ref="N129:O129"/>
    <mergeCell ref="P136:Q136"/>
    <mergeCell ref="H142:I142"/>
    <mergeCell ref="F129:G129"/>
    <mergeCell ref="N134:O134"/>
    <mergeCell ref="D131:T131"/>
    <mergeCell ref="R134:S134"/>
    <mergeCell ref="D136:E136"/>
    <mergeCell ref="D125:E125"/>
    <mergeCell ref="F125:G125"/>
    <mergeCell ref="H125:I125"/>
    <mergeCell ref="H130:I130"/>
    <mergeCell ref="P130:Q130"/>
    <mergeCell ref="J136:K136"/>
    <mergeCell ref="P137:Q137"/>
    <mergeCell ref="R136:S136"/>
    <mergeCell ref="N114:O114"/>
    <mergeCell ref="L116:M116"/>
    <mergeCell ref="F120:G120"/>
    <mergeCell ref="F118:V118"/>
    <mergeCell ref="J135:K135"/>
    <mergeCell ref="L129:M129"/>
    <mergeCell ref="L135:M135"/>
    <mergeCell ref="J95:K95"/>
    <mergeCell ref="P87:Q87"/>
    <mergeCell ref="D90:E90"/>
    <mergeCell ref="R104:S104"/>
    <mergeCell ref="D135:E135"/>
    <mergeCell ref="R144:S144"/>
    <mergeCell ref="R137:S137"/>
    <mergeCell ref="J113:K113"/>
    <mergeCell ref="D107:E107"/>
    <mergeCell ref="J129:K129"/>
    <mergeCell ref="D126:T126"/>
    <mergeCell ref="J115:K115"/>
    <mergeCell ref="D127:E127"/>
    <mergeCell ref="N130:O130"/>
    <mergeCell ref="R111:S111"/>
    <mergeCell ref="H115:I115"/>
    <mergeCell ref="R143:S143"/>
    <mergeCell ref="J142:K142"/>
    <mergeCell ref="D115:E115"/>
    <mergeCell ref="D132:E132"/>
    <mergeCell ref="D142:E142"/>
    <mergeCell ref="F143:G143"/>
    <mergeCell ref="N135:O135"/>
    <mergeCell ref="H136:I136"/>
    <mergeCell ref="F136:G136"/>
    <mergeCell ref="H121:I121"/>
    <mergeCell ref="J121:K121"/>
    <mergeCell ref="H122:I122"/>
    <mergeCell ref="J122:K122"/>
    <mergeCell ref="D147:T147"/>
    <mergeCell ref="D106:T106"/>
    <mergeCell ref="P134:Q134"/>
    <mergeCell ref="N116:O116"/>
    <mergeCell ref="C140:V140"/>
    <mergeCell ref="D110:E110"/>
    <mergeCell ref="P112:Q112"/>
    <mergeCell ref="P115:Q115"/>
    <mergeCell ref="N115:O115"/>
    <mergeCell ref="F139:V139"/>
    <mergeCell ref="P143:Q143"/>
    <mergeCell ref="P116:Q116"/>
    <mergeCell ref="D130:E130"/>
    <mergeCell ref="D129:E129"/>
    <mergeCell ref="J134:K134"/>
    <mergeCell ref="D113:E113"/>
    <mergeCell ref="F134:G134"/>
    <mergeCell ref="N120:O120"/>
    <mergeCell ref="R145:S145"/>
    <mergeCell ref="J111:K111"/>
    <mergeCell ref="R129:S129"/>
    <mergeCell ref="L143:M143"/>
    <mergeCell ref="H123:I123"/>
    <mergeCell ref="J123:K123"/>
    <mergeCell ref="J116:K116"/>
    <mergeCell ref="L120:M120"/>
    <mergeCell ref="F116:G116"/>
    <mergeCell ref="L113:M113"/>
    <mergeCell ref="N81:O81"/>
    <mergeCell ref="J82:K82"/>
    <mergeCell ref="L82:M82"/>
    <mergeCell ref="N82:O82"/>
    <mergeCell ref="D89:E89"/>
    <mergeCell ref="F89:G89"/>
    <mergeCell ref="R95:S95"/>
    <mergeCell ref="P95:Q95"/>
    <mergeCell ref="P83:Q83"/>
    <mergeCell ref="D83:E83"/>
    <mergeCell ref="H95:I95"/>
    <mergeCell ref="C93:V93"/>
    <mergeCell ref="L90:M90"/>
    <mergeCell ref="N90:O90"/>
    <mergeCell ref="P90:Q90"/>
    <mergeCell ref="H82:I82"/>
    <mergeCell ref="F92:V92"/>
    <mergeCell ref="F95:G95"/>
    <mergeCell ref="H90:I90"/>
    <mergeCell ref="J90:K90"/>
    <mergeCell ref="D88:V88"/>
    <mergeCell ref="D81:E81"/>
    <mergeCell ref="F81:G81"/>
    <mergeCell ref="F82:G82"/>
    <mergeCell ref="F83:G83"/>
    <mergeCell ref="L152:M152"/>
    <mergeCell ref="N152:O152"/>
    <mergeCell ref="D143:E143"/>
    <mergeCell ref="J112:K112"/>
    <mergeCell ref="N143:O143"/>
    <mergeCell ref="F137:G137"/>
    <mergeCell ref="L115:M115"/>
    <mergeCell ref="R150:S150"/>
    <mergeCell ref="D151:E151"/>
    <mergeCell ref="P144:Q144"/>
    <mergeCell ref="D111:E111"/>
    <mergeCell ref="N122:O122"/>
    <mergeCell ref="F145:G145"/>
    <mergeCell ref="P146:Q146"/>
    <mergeCell ref="D146:E146"/>
    <mergeCell ref="P142:Q142"/>
    <mergeCell ref="L11:M11"/>
    <mergeCell ref="D36:E36"/>
    <mergeCell ref="F34:G34"/>
    <mergeCell ref="R12:S12"/>
    <mergeCell ref="F38:G38"/>
    <mergeCell ref="J38:K38"/>
    <mergeCell ref="H38:I38"/>
    <mergeCell ref="F127:V127"/>
    <mergeCell ref="H124:I124"/>
    <mergeCell ref="J124:K124"/>
    <mergeCell ref="L124:M124"/>
    <mergeCell ref="N124:O124"/>
    <mergeCell ref="P124:Q124"/>
    <mergeCell ref="R124:S124"/>
    <mergeCell ref="D122:E122"/>
    <mergeCell ref="F122:G122"/>
    <mergeCell ref="R13:S13"/>
    <mergeCell ref="D7:E7"/>
    <mergeCell ref="N43:O43"/>
    <mergeCell ref="D54:E54"/>
    <mergeCell ref="D63:E63"/>
    <mergeCell ref="F63:G63"/>
    <mergeCell ref="D76:T76"/>
    <mergeCell ref="D77:E77"/>
    <mergeCell ref="F55:G55"/>
    <mergeCell ref="J63:K63"/>
    <mergeCell ref="P63:Q63"/>
    <mergeCell ref="L69:M69"/>
    <mergeCell ref="N69:O69"/>
    <mergeCell ref="P69:Q69"/>
    <mergeCell ref="D60:E60"/>
    <mergeCell ref="J69:K69"/>
    <mergeCell ref="J54:K54"/>
    <mergeCell ref="F7:G7"/>
    <mergeCell ref="R7:S7"/>
    <mergeCell ref="F14:G14"/>
    <mergeCell ref="N47:O47"/>
    <mergeCell ref="N48:O48"/>
    <mergeCell ref="L48:M48"/>
    <mergeCell ref="H75:I75"/>
    <mergeCell ref="J70:K70"/>
    <mergeCell ref="L70:M70"/>
    <mergeCell ref="N70:O70"/>
    <mergeCell ref="P8:Q8"/>
    <mergeCell ref="R11:S11"/>
    <mergeCell ref="P15:Q15"/>
    <mergeCell ref="R8:S8"/>
    <mergeCell ref="R46:S46"/>
    <mergeCell ref="F170:G170"/>
    <mergeCell ref="P152:Q152"/>
    <mergeCell ref="L146:M146"/>
    <mergeCell ref="H144:I144"/>
    <mergeCell ref="J9:K9"/>
    <mergeCell ref="P14:Q14"/>
    <mergeCell ref="R43:S43"/>
    <mergeCell ref="D45:E45"/>
    <mergeCell ref="L46:M46"/>
    <mergeCell ref="H49:I49"/>
    <mergeCell ref="R49:S49"/>
    <mergeCell ref="L49:M49"/>
    <mergeCell ref="L9:M9"/>
    <mergeCell ref="P26:Q26"/>
    <mergeCell ref="D32:E32"/>
    <mergeCell ref="D33:E33"/>
    <mergeCell ref="D18:E18"/>
    <mergeCell ref="P21:Q21"/>
    <mergeCell ref="P44:Q44"/>
    <mergeCell ref="F43:G43"/>
    <mergeCell ref="P43:Q43"/>
    <mergeCell ref="J21:K21"/>
    <mergeCell ref="N13:O13"/>
    <mergeCell ref="P25:Q25"/>
    <mergeCell ref="R21:S21"/>
    <mergeCell ref="J10:K10"/>
    <mergeCell ref="H33:I33"/>
    <mergeCell ref="D15:E15"/>
    <mergeCell ref="H12:I12"/>
    <mergeCell ref="D13:E13"/>
    <mergeCell ref="J11:K11"/>
    <mergeCell ref="J13:K13"/>
    <mergeCell ref="L273:M273"/>
    <mergeCell ref="N273:O273"/>
    <mergeCell ref="R242:S242"/>
    <mergeCell ref="P244:Q244"/>
    <mergeCell ref="L155:M155"/>
    <mergeCell ref="H154:I154"/>
    <mergeCell ref="D165:E165"/>
    <mergeCell ref="L167:M167"/>
    <mergeCell ref="C173:V173"/>
    <mergeCell ref="H170:I170"/>
    <mergeCell ref="P12:Q12"/>
    <mergeCell ref="D62:V62"/>
    <mergeCell ref="L163:M163"/>
    <mergeCell ref="F163:G163"/>
    <mergeCell ref="N161:O161"/>
    <mergeCell ref="N165:O165"/>
    <mergeCell ref="R114:S114"/>
    <mergeCell ref="F144:G144"/>
    <mergeCell ref="H163:I163"/>
    <mergeCell ref="H167:I167"/>
    <mergeCell ref="F151:G151"/>
    <mergeCell ref="H151:I151"/>
    <mergeCell ref="F146:G146"/>
    <mergeCell ref="J146:K146"/>
    <mergeCell ref="D172:E172"/>
    <mergeCell ref="N170:O170"/>
    <mergeCell ref="D161:E161"/>
    <mergeCell ref="F172:V172"/>
    <mergeCell ref="N168:O168"/>
    <mergeCell ref="P168:Q168"/>
    <mergeCell ref="L165:M165"/>
    <mergeCell ref="R165:S165"/>
    <mergeCell ref="F268:G268"/>
    <mergeCell ref="P270:Q270"/>
    <mergeCell ref="N271:O271"/>
    <mergeCell ref="R271:S271"/>
    <mergeCell ref="R239:S239"/>
    <mergeCell ref="F231:G231"/>
    <mergeCell ref="F255:G255"/>
    <mergeCell ref="P337:Q337"/>
    <mergeCell ref="D335:E335"/>
    <mergeCell ref="L364:M364"/>
    <mergeCell ref="N364:O364"/>
    <mergeCell ref="L398:M398"/>
    <mergeCell ref="N398:O398"/>
    <mergeCell ref="P398:Q398"/>
    <mergeCell ref="R398:S398"/>
    <mergeCell ref="D306:E306"/>
    <mergeCell ref="D384:S384"/>
    <mergeCell ref="H380:I380"/>
    <mergeCell ref="H305:I305"/>
    <mergeCell ref="H373:I373"/>
    <mergeCell ref="N310:O310"/>
    <mergeCell ref="N380:O380"/>
    <mergeCell ref="R382:S382"/>
    <mergeCell ref="L396:M396"/>
    <mergeCell ref="N396:O396"/>
    <mergeCell ref="P396:Q396"/>
    <mergeCell ref="R396:S396"/>
    <mergeCell ref="D398:E398"/>
    <mergeCell ref="P307:Q307"/>
    <mergeCell ref="R308:S308"/>
    <mergeCell ref="F232:G232"/>
    <mergeCell ref="N232:O232"/>
    <mergeCell ref="H254:I254"/>
    <mergeCell ref="P289:Q289"/>
    <mergeCell ref="F254:G254"/>
    <mergeCell ref="F258:G258"/>
    <mergeCell ref="R234:S234"/>
    <mergeCell ref="L295:M295"/>
    <mergeCell ref="J275:K275"/>
    <mergeCell ref="L275:M275"/>
    <mergeCell ref="D260:T260"/>
    <mergeCell ref="L232:M232"/>
    <mergeCell ref="D254:E254"/>
    <mergeCell ref="D276:V276"/>
    <mergeCell ref="F247:G247"/>
    <mergeCell ref="J272:K272"/>
    <mergeCell ref="L272:M272"/>
    <mergeCell ref="N272:O272"/>
    <mergeCell ref="R272:S272"/>
    <mergeCell ref="D269:V269"/>
    <mergeCell ref="F267:G267"/>
    <mergeCell ref="D267:E267"/>
    <mergeCell ref="N267:O267"/>
    <mergeCell ref="H246:I246"/>
    <mergeCell ref="J246:K246"/>
    <mergeCell ref="P275:Q275"/>
    <mergeCell ref="R280:S280"/>
    <mergeCell ref="F281:G281"/>
    <mergeCell ref="H270:I270"/>
    <mergeCell ref="R275:S275"/>
    <mergeCell ref="P282:Q282"/>
    <mergeCell ref="R257:S257"/>
    <mergeCell ref="J253:K253"/>
    <mergeCell ref="H255:I255"/>
    <mergeCell ref="R233:S233"/>
    <mergeCell ref="H245:I245"/>
    <mergeCell ref="P245:Q245"/>
    <mergeCell ref="N294:O294"/>
    <mergeCell ref="J291:K291"/>
    <mergeCell ref="J289:K289"/>
    <mergeCell ref="J294:K294"/>
    <mergeCell ref="L280:M280"/>
    <mergeCell ref="J264:K264"/>
    <mergeCell ref="L277:M277"/>
    <mergeCell ref="N277:O277"/>
    <mergeCell ref="F233:G233"/>
    <mergeCell ref="D243:E243"/>
    <mergeCell ref="L242:M242"/>
    <mergeCell ref="P257:Q257"/>
    <mergeCell ref="L235:M235"/>
    <mergeCell ref="R255:S255"/>
    <mergeCell ref="R254:S254"/>
    <mergeCell ref="H289:I289"/>
    <mergeCell ref="N274:O274"/>
    <mergeCell ref="D294:E294"/>
    <mergeCell ref="H284:I284"/>
    <mergeCell ref="N275:O275"/>
    <mergeCell ref="H277:I277"/>
    <mergeCell ref="J277:K277"/>
    <mergeCell ref="R289:S289"/>
    <mergeCell ref="N281:O281"/>
    <mergeCell ref="R274:S274"/>
    <mergeCell ref="P273:Q273"/>
    <mergeCell ref="R273:S273"/>
    <mergeCell ref="L291:M291"/>
    <mergeCell ref="D275:E275"/>
    <mergeCell ref="D211:E211"/>
    <mergeCell ref="N211:O211"/>
    <mergeCell ref="C214:V214"/>
    <mergeCell ref="H232:I232"/>
    <mergeCell ref="N228:O228"/>
    <mergeCell ref="H291:I291"/>
    <mergeCell ref="H280:I280"/>
    <mergeCell ref="L257:M257"/>
    <mergeCell ref="R291:S291"/>
    <mergeCell ref="J225:K225"/>
    <mergeCell ref="F225:G225"/>
    <mergeCell ref="H225:I225"/>
    <mergeCell ref="F224:G224"/>
    <mergeCell ref="N225:O225"/>
    <mergeCell ref="N231:O231"/>
    <mergeCell ref="N253:O253"/>
    <mergeCell ref="H264:I264"/>
    <mergeCell ref="F261:V261"/>
    <mergeCell ref="F272:G272"/>
    <mergeCell ref="P277:Q277"/>
    <mergeCell ref="H243:I243"/>
    <mergeCell ref="D264:E264"/>
    <mergeCell ref="L267:M267"/>
    <mergeCell ref="H256:I256"/>
    <mergeCell ref="N284:O284"/>
    <mergeCell ref="J245:K245"/>
    <mergeCell ref="R246:S246"/>
    <mergeCell ref="D245:E245"/>
    <mergeCell ref="R277:S277"/>
    <mergeCell ref="N258:O258"/>
    <mergeCell ref="P264:Q264"/>
    <mergeCell ref="L264:M264"/>
    <mergeCell ref="D219:E219"/>
    <mergeCell ref="P247:Q247"/>
    <mergeCell ref="N224:O224"/>
    <mergeCell ref="P237:Q237"/>
    <mergeCell ref="D240:V240"/>
    <mergeCell ref="J242:K242"/>
    <mergeCell ref="P231:Q231"/>
    <mergeCell ref="L246:M246"/>
    <mergeCell ref="N246:O246"/>
    <mergeCell ref="L228:M228"/>
    <mergeCell ref="L233:M233"/>
    <mergeCell ref="N218:O218"/>
    <mergeCell ref="P218:Q218"/>
    <mergeCell ref="L217:M217"/>
    <mergeCell ref="H219:I219"/>
    <mergeCell ref="L219:M219"/>
    <mergeCell ref="J218:K218"/>
    <mergeCell ref="R219:S219"/>
    <mergeCell ref="L245:M245"/>
    <mergeCell ref="N245:O245"/>
    <mergeCell ref="L244:M244"/>
    <mergeCell ref="R226:S226"/>
    <mergeCell ref="N242:O242"/>
    <mergeCell ref="H235:I235"/>
    <mergeCell ref="D226:E226"/>
    <mergeCell ref="N241:O241"/>
    <mergeCell ref="F239:G239"/>
    <mergeCell ref="J231:K231"/>
    <mergeCell ref="P234:Q234"/>
    <mergeCell ref="F245:G245"/>
    <mergeCell ref="H234:I234"/>
    <mergeCell ref="J234:K234"/>
    <mergeCell ref="P219:Q219"/>
    <mergeCell ref="F241:G241"/>
    <mergeCell ref="H216:I216"/>
    <mergeCell ref="P211:Q211"/>
    <mergeCell ref="F219:G219"/>
    <mergeCell ref="J211:K211"/>
    <mergeCell ref="J241:K241"/>
    <mergeCell ref="H227:I227"/>
    <mergeCell ref="J227:K227"/>
    <mergeCell ref="J232:K232"/>
    <mergeCell ref="F207:G207"/>
    <mergeCell ref="F213:V213"/>
    <mergeCell ref="J224:K224"/>
    <mergeCell ref="D233:E233"/>
    <mergeCell ref="P205:Q205"/>
    <mergeCell ref="L207:M207"/>
    <mergeCell ref="F235:G235"/>
    <mergeCell ref="L211:M211"/>
    <mergeCell ref="D235:E235"/>
    <mergeCell ref="L205:M205"/>
    <mergeCell ref="J207:K207"/>
    <mergeCell ref="P232:Q232"/>
    <mergeCell ref="F234:G234"/>
    <mergeCell ref="R232:S232"/>
    <mergeCell ref="D234:E234"/>
    <mergeCell ref="D220:T220"/>
    <mergeCell ref="D223:V223"/>
    <mergeCell ref="D229:V229"/>
    <mergeCell ref="D230:V230"/>
    <mergeCell ref="D232:E232"/>
    <mergeCell ref="F211:G211"/>
    <mergeCell ref="L226:M226"/>
    <mergeCell ref="D176:E176"/>
    <mergeCell ref="N235:O235"/>
    <mergeCell ref="J233:K233"/>
    <mergeCell ref="P225:Q225"/>
    <mergeCell ref="H239:I239"/>
    <mergeCell ref="P227:Q227"/>
    <mergeCell ref="H186:I186"/>
    <mergeCell ref="N180:O180"/>
    <mergeCell ref="F227:G227"/>
    <mergeCell ref="F201:G201"/>
    <mergeCell ref="H206:I206"/>
    <mergeCell ref="P204:Q204"/>
    <mergeCell ref="F206:G206"/>
    <mergeCell ref="J206:K206"/>
    <mergeCell ref="D228:E228"/>
    <mergeCell ref="F216:G216"/>
    <mergeCell ref="D213:E213"/>
    <mergeCell ref="F226:G226"/>
    <mergeCell ref="H226:I226"/>
    <mergeCell ref="D212:T212"/>
    <mergeCell ref="R225:S225"/>
    <mergeCell ref="D206:E206"/>
    <mergeCell ref="D209:E209"/>
    <mergeCell ref="J226:K226"/>
    <mergeCell ref="L224:M224"/>
    <mergeCell ref="L237:M237"/>
    <mergeCell ref="P228:Q228"/>
    <mergeCell ref="R204:S204"/>
    <mergeCell ref="L193:M193"/>
    <mergeCell ref="P224:Q224"/>
    <mergeCell ref="R224:S224"/>
    <mergeCell ref="D205:E205"/>
    <mergeCell ref="J194:K194"/>
    <mergeCell ref="L178:M178"/>
    <mergeCell ref="P178:Q178"/>
    <mergeCell ref="P201:Q201"/>
    <mergeCell ref="J202:K202"/>
    <mergeCell ref="N203:O203"/>
    <mergeCell ref="N179:O179"/>
    <mergeCell ref="J193:K193"/>
    <mergeCell ref="H194:I194"/>
    <mergeCell ref="R198:S198"/>
    <mergeCell ref="D191:E191"/>
    <mergeCell ref="F200:G200"/>
    <mergeCell ref="F202:G202"/>
    <mergeCell ref="R202:S202"/>
    <mergeCell ref="J188:K188"/>
    <mergeCell ref="N194:O194"/>
    <mergeCell ref="N186:O186"/>
    <mergeCell ref="P181:Q181"/>
    <mergeCell ref="D196:E196"/>
    <mergeCell ref="H198:I198"/>
    <mergeCell ref="J198:K198"/>
    <mergeCell ref="N200:O200"/>
    <mergeCell ref="R193:S193"/>
    <mergeCell ref="R181:S181"/>
    <mergeCell ref="J181:K181"/>
    <mergeCell ref="P180:Q180"/>
    <mergeCell ref="D179:E179"/>
    <mergeCell ref="L200:M200"/>
    <mergeCell ref="D182:T182"/>
    <mergeCell ref="F198:G198"/>
    <mergeCell ref="D189:E189"/>
    <mergeCell ref="D195:T195"/>
    <mergeCell ref="L198:M198"/>
    <mergeCell ref="D207:E207"/>
    <mergeCell ref="N205:O205"/>
    <mergeCell ref="P199:Q199"/>
    <mergeCell ref="H204:I204"/>
    <mergeCell ref="J204:K204"/>
    <mergeCell ref="N204:O204"/>
    <mergeCell ref="J177:K177"/>
    <mergeCell ref="F178:G178"/>
    <mergeCell ref="J179:K179"/>
    <mergeCell ref="H176:I176"/>
    <mergeCell ref="D183:E183"/>
    <mergeCell ref="H180:I180"/>
    <mergeCell ref="H189:I189"/>
    <mergeCell ref="J180:K180"/>
    <mergeCell ref="L180:M180"/>
    <mergeCell ref="L179:M179"/>
    <mergeCell ref="J186:K186"/>
    <mergeCell ref="D181:E181"/>
    <mergeCell ref="J189:K189"/>
    <mergeCell ref="L185:M185"/>
    <mergeCell ref="F183:V183"/>
    <mergeCell ref="F185:G185"/>
    <mergeCell ref="P179:Q179"/>
    <mergeCell ref="L177:M177"/>
    <mergeCell ref="F176:G176"/>
    <mergeCell ref="H177:I177"/>
    <mergeCell ref="L181:M181"/>
    <mergeCell ref="F189:G189"/>
    <mergeCell ref="P188:Q188"/>
    <mergeCell ref="R203:S203"/>
    <mergeCell ref="P203:Q203"/>
    <mergeCell ref="P198:Q198"/>
    <mergeCell ref="P194:Q194"/>
    <mergeCell ref="N175:O175"/>
    <mergeCell ref="F193:G193"/>
    <mergeCell ref="R207:S207"/>
    <mergeCell ref="F175:G175"/>
    <mergeCell ref="R177:S177"/>
    <mergeCell ref="F181:G181"/>
    <mergeCell ref="L201:M201"/>
    <mergeCell ref="L202:M202"/>
    <mergeCell ref="L203:M203"/>
    <mergeCell ref="D175:E175"/>
    <mergeCell ref="D186:E186"/>
    <mergeCell ref="H203:I203"/>
    <mergeCell ref="L194:M194"/>
    <mergeCell ref="F194:G194"/>
    <mergeCell ref="D203:E203"/>
    <mergeCell ref="D200:E200"/>
    <mergeCell ref="P189:Q189"/>
    <mergeCell ref="H202:I202"/>
    <mergeCell ref="N202:O202"/>
    <mergeCell ref="N178:O178"/>
    <mergeCell ref="F191:V191"/>
    <mergeCell ref="R188:S188"/>
    <mergeCell ref="P186:Q186"/>
    <mergeCell ref="D199:E199"/>
    <mergeCell ref="F203:G203"/>
    <mergeCell ref="J176:K176"/>
    <mergeCell ref="H175:I175"/>
    <mergeCell ref="F180:G180"/>
    <mergeCell ref="J203:K203"/>
    <mergeCell ref="P176:Q176"/>
    <mergeCell ref="R179:S179"/>
    <mergeCell ref="D178:E178"/>
    <mergeCell ref="P175:Q175"/>
    <mergeCell ref="H185:I185"/>
    <mergeCell ref="F196:V196"/>
    <mergeCell ref="D180:E180"/>
    <mergeCell ref="R176:S176"/>
    <mergeCell ref="L176:M176"/>
    <mergeCell ref="P177:Q177"/>
    <mergeCell ref="N177:O177"/>
    <mergeCell ref="F177:G177"/>
    <mergeCell ref="R189:S189"/>
    <mergeCell ref="J185:K185"/>
    <mergeCell ref="H188:I188"/>
    <mergeCell ref="D177:E177"/>
    <mergeCell ref="N181:O181"/>
    <mergeCell ref="H181:I181"/>
    <mergeCell ref="N176:O176"/>
    <mergeCell ref="J178:K178"/>
    <mergeCell ref="D194:E194"/>
    <mergeCell ref="R194:S194"/>
    <mergeCell ref="H193:I193"/>
    <mergeCell ref="D187:V187"/>
    <mergeCell ref="D188:E188"/>
    <mergeCell ref="N193:O193"/>
    <mergeCell ref="P185:Q185"/>
    <mergeCell ref="F186:G186"/>
    <mergeCell ref="N189:O189"/>
    <mergeCell ref="L186:M186"/>
    <mergeCell ref="R180:S180"/>
    <mergeCell ref="R178:S178"/>
    <mergeCell ref="N185:O185"/>
    <mergeCell ref="N206:O206"/>
    <mergeCell ref="D238:V238"/>
    <mergeCell ref="D249:E249"/>
    <mergeCell ref="N243:O243"/>
    <mergeCell ref="H249:I249"/>
    <mergeCell ref="J249:K249"/>
    <mergeCell ref="H241:I241"/>
    <mergeCell ref="R201:S201"/>
    <mergeCell ref="R205:S205"/>
    <mergeCell ref="H207:I207"/>
    <mergeCell ref="H205:I205"/>
    <mergeCell ref="D204:E204"/>
    <mergeCell ref="N207:O207"/>
    <mergeCell ref="N234:O234"/>
    <mergeCell ref="F205:G205"/>
    <mergeCell ref="L249:M249"/>
    <mergeCell ref="H237:I237"/>
    <mergeCell ref="H244:I244"/>
    <mergeCell ref="J244:K244"/>
    <mergeCell ref="N239:O239"/>
    <mergeCell ref="D208:T208"/>
    <mergeCell ref="H224:I224"/>
    <mergeCell ref="R228:S228"/>
    <mergeCell ref="P226:Q226"/>
    <mergeCell ref="H233:I233"/>
    <mergeCell ref="D221:E221"/>
    <mergeCell ref="F221:V221"/>
    <mergeCell ref="H201:I201"/>
    <mergeCell ref="F204:G204"/>
    <mergeCell ref="D224:E224"/>
    <mergeCell ref="F209:V209"/>
    <mergeCell ref="D239:E239"/>
    <mergeCell ref="R218:S218"/>
    <mergeCell ref="F257:G257"/>
    <mergeCell ref="D216:E216"/>
    <mergeCell ref="P300:Q300"/>
    <mergeCell ref="R300:S300"/>
    <mergeCell ref="H324:I324"/>
    <mergeCell ref="L315:M315"/>
    <mergeCell ref="D328:V328"/>
    <mergeCell ref="P322:Q322"/>
    <mergeCell ref="N324:O324"/>
    <mergeCell ref="J256:K256"/>
    <mergeCell ref="J257:K257"/>
    <mergeCell ref="F256:G256"/>
    <mergeCell ref="R296:S296"/>
    <mergeCell ref="D256:E256"/>
    <mergeCell ref="L282:M282"/>
    <mergeCell ref="L274:M274"/>
    <mergeCell ref="D283:V283"/>
    <mergeCell ref="D278:V278"/>
    <mergeCell ref="D280:E280"/>
    <mergeCell ref="F280:G280"/>
    <mergeCell ref="R295:S295"/>
    <mergeCell ref="J280:K280"/>
    <mergeCell ref="F291:G291"/>
    <mergeCell ref="P296:Q296"/>
    <mergeCell ref="F315:G315"/>
    <mergeCell ref="P291:Q291"/>
    <mergeCell ref="H296:I296"/>
    <mergeCell ref="N268:O268"/>
    <mergeCell ref="D272:E272"/>
    <mergeCell ref="P295:Q295"/>
    <mergeCell ref="P272:Q272"/>
    <mergeCell ref="H329:I329"/>
    <mergeCell ref="R298:S298"/>
    <mergeCell ref="R297:S297"/>
    <mergeCell ref="D298:E298"/>
    <mergeCell ref="F309:G309"/>
    <mergeCell ref="N327:O327"/>
    <mergeCell ref="P321:Q321"/>
    <mergeCell ref="J322:K322"/>
    <mergeCell ref="D317:T317"/>
    <mergeCell ref="L324:M324"/>
    <mergeCell ref="R314:S314"/>
    <mergeCell ref="H314:I314"/>
    <mergeCell ref="P297:Q297"/>
    <mergeCell ref="D300:E300"/>
    <mergeCell ref="N306:O306"/>
    <mergeCell ref="L306:M306"/>
    <mergeCell ref="L297:M297"/>
    <mergeCell ref="N305:O305"/>
    <mergeCell ref="R321:S321"/>
    <mergeCell ref="J324:K324"/>
    <mergeCell ref="L305:M305"/>
    <mergeCell ref="P308:Q308"/>
    <mergeCell ref="J305:K305"/>
    <mergeCell ref="N309:O309"/>
    <mergeCell ref="R322:S322"/>
    <mergeCell ref="D315:E315"/>
    <mergeCell ref="N544:O544"/>
    <mergeCell ref="D551:E551"/>
    <mergeCell ref="F514:G514"/>
    <mergeCell ref="P515:Q515"/>
    <mergeCell ref="F512:V512"/>
    <mergeCell ref="P517:Q517"/>
    <mergeCell ref="J543:K543"/>
    <mergeCell ref="N525:O525"/>
    <mergeCell ref="P525:Q525"/>
    <mergeCell ref="R525:S525"/>
    <mergeCell ref="H518:I518"/>
    <mergeCell ref="L518:M518"/>
    <mergeCell ref="R533:S533"/>
    <mergeCell ref="P514:Q514"/>
    <mergeCell ref="N550:O550"/>
    <mergeCell ref="P505:Q505"/>
    <mergeCell ref="F516:G516"/>
    <mergeCell ref="L549:M549"/>
    <mergeCell ref="F527:V527"/>
    <mergeCell ref="F539:G539"/>
    <mergeCell ref="F538:G538"/>
    <mergeCell ref="P538:Q538"/>
    <mergeCell ref="F541:V541"/>
    <mergeCell ref="P544:Q544"/>
    <mergeCell ref="H524:I524"/>
    <mergeCell ref="F531:G531"/>
    <mergeCell ref="F507:G507"/>
    <mergeCell ref="N507:O507"/>
    <mergeCell ref="D515:E515"/>
    <mergeCell ref="J398:K398"/>
    <mergeCell ref="D574:E574"/>
    <mergeCell ref="J501:K501"/>
    <mergeCell ref="H394:I394"/>
    <mergeCell ref="J394:K394"/>
    <mergeCell ref="L394:M394"/>
    <mergeCell ref="D394:E394"/>
    <mergeCell ref="H374:I374"/>
    <mergeCell ref="F406:V406"/>
    <mergeCell ref="R403:S403"/>
    <mergeCell ref="L403:M403"/>
    <mergeCell ref="R378:S378"/>
    <mergeCell ref="D400:E400"/>
    <mergeCell ref="F382:G382"/>
    <mergeCell ref="D387:T387"/>
    <mergeCell ref="T380:V384"/>
    <mergeCell ref="D390:V390"/>
    <mergeCell ref="L402:M402"/>
    <mergeCell ref="J381:K381"/>
    <mergeCell ref="D376:E376"/>
    <mergeCell ref="L386:M386"/>
    <mergeCell ref="N386:O386"/>
    <mergeCell ref="D403:E403"/>
    <mergeCell ref="H386:I386"/>
    <mergeCell ref="D406:E406"/>
    <mergeCell ref="D558:E558"/>
    <mergeCell ref="D544:E544"/>
    <mergeCell ref="R549:S549"/>
    <mergeCell ref="J546:K546"/>
    <mergeCell ref="F554:G554"/>
    <mergeCell ref="P574:Q574"/>
    <mergeCell ref="N551:O551"/>
    <mergeCell ref="L345:M345"/>
    <mergeCell ref="N350:O350"/>
    <mergeCell ref="D397:V397"/>
    <mergeCell ref="D404:E404"/>
    <mergeCell ref="L381:M381"/>
    <mergeCell ref="D392:E392"/>
    <mergeCell ref="F388:V388"/>
    <mergeCell ref="R386:S386"/>
    <mergeCell ref="H350:I350"/>
    <mergeCell ref="H360:I360"/>
    <mergeCell ref="J360:K360"/>
    <mergeCell ref="P351:Q351"/>
    <mergeCell ref="F352:G352"/>
    <mergeCell ref="J353:K353"/>
    <mergeCell ref="H357:I357"/>
    <mergeCell ref="J357:K357"/>
    <mergeCell ref="L374:M374"/>
    <mergeCell ref="F378:G378"/>
    <mergeCell ref="H378:I378"/>
    <mergeCell ref="D380:E380"/>
    <mergeCell ref="D361:V361"/>
    <mergeCell ref="L365:M365"/>
    <mergeCell ref="N365:O365"/>
    <mergeCell ref="F392:G392"/>
    <mergeCell ref="R402:S402"/>
    <mergeCell ref="N376:O376"/>
    <mergeCell ref="P376:Q376"/>
    <mergeCell ref="R376:S376"/>
    <mergeCell ref="D379:V379"/>
    <mergeCell ref="F374:G374"/>
    <mergeCell ref="P392:Q392"/>
    <mergeCell ref="R392:S392"/>
    <mergeCell ref="F324:G324"/>
    <mergeCell ref="F332:G332"/>
    <mergeCell ref="R332:S332"/>
    <mergeCell ref="D338:E338"/>
    <mergeCell ref="D360:E360"/>
    <mergeCell ref="N394:O394"/>
    <mergeCell ref="P394:Q394"/>
    <mergeCell ref="D342:E342"/>
    <mergeCell ref="N404:O404"/>
    <mergeCell ref="F403:G403"/>
    <mergeCell ref="L330:M330"/>
    <mergeCell ref="N369:O369"/>
    <mergeCell ref="R404:S404"/>
    <mergeCell ref="P374:Q374"/>
    <mergeCell ref="P404:Q404"/>
    <mergeCell ref="D358:S358"/>
    <mergeCell ref="L355:M355"/>
    <mergeCell ref="D399:T399"/>
    <mergeCell ref="R333:S333"/>
    <mergeCell ref="R339:S339"/>
    <mergeCell ref="R338:S338"/>
    <mergeCell ref="D339:E339"/>
    <mergeCell ref="N332:O332"/>
    <mergeCell ref="J333:K333"/>
    <mergeCell ref="F340:G340"/>
    <mergeCell ref="L340:M340"/>
    <mergeCell ref="H403:I403"/>
    <mergeCell ref="D402:E402"/>
    <mergeCell ref="L347:M347"/>
    <mergeCell ref="D340:E340"/>
    <mergeCell ref="P339:Q339"/>
    <mergeCell ref="H341:I341"/>
    <mergeCell ref="P315:Q315"/>
    <mergeCell ref="F318:V318"/>
    <mergeCell ref="D318:E318"/>
    <mergeCell ref="N308:O308"/>
    <mergeCell ref="H304:I304"/>
    <mergeCell ref="F314:G314"/>
    <mergeCell ref="J307:K307"/>
    <mergeCell ref="H308:I308"/>
    <mergeCell ref="F310:G310"/>
    <mergeCell ref="D321:E321"/>
    <mergeCell ref="D314:E314"/>
    <mergeCell ref="D312:E312"/>
    <mergeCell ref="P310:Q310"/>
    <mergeCell ref="J308:K308"/>
    <mergeCell ref="P309:Q309"/>
    <mergeCell ref="L309:M309"/>
    <mergeCell ref="J310:K310"/>
    <mergeCell ref="R307:S307"/>
    <mergeCell ref="J309:K309"/>
    <mergeCell ref="R309:S309"/>
    <mergeCell ref="P305:Q305"/>
    <mergeCell ref="H282:I282"/>
    <mergeCell ref="P304:Q304"/>
    <mergeCell ref="N280:O280"/>
    <mergeCell ref="R299:S299"/>
    <mergeCell ref="L281:M281"/>
    <mergeCell ref="F295:G295"/>
    <mergeCell ref="F284:G284"/>
    <mergeCell ref="L296:M296"/>
    <mergeCell ref="D282:E282"/>
    <mergeCell ref="D289:E289"/>
    <mergeCell ref="L289:M289"/>
    <mergeCell ref="D292:V292"/>
    <mergeCell ref="D293:V293"/>
    <mergeCell ref="D297:E297"/>
    <mergeCell ref="D296:E296"/>
    <mergeCell ref="J300:K300"/>
    <mergeCell ref="P298:Q298"/>
    <mergeCell ref="H295:I295"/>
    <mergeCell ref="N296:O296"/>
    <mergeCell ref="F296:G296"/>
    <mergeCell ref="D302:E302"/>
    <mergeCell ref="R294:S294"/>
    <mergeCell ref="R282:S282"/>
    <mergeCell ref="L304:M304"/>
    <mergeCell ref="H300:I300"/>
    <mergeCell ref="H299:I299"/>
    <mergeCell ref="L299:M299"/>
    <mergeCell ref="N299:O299"/>
    <mergeCell ref="R241:S241"/>
    <mergeCell ref="P280:Q280"/>
    <mergeCell ref="P281:Q281"/>
    <mergeCell ref="D246:E246"/>
    <mergeCell ref="D248:V248"/>
    <mergeCell ref="H247:I247"/>
    <mergeCell ref="J247:K247"/>
    <mergeCell ref="L247:M247"/>
    <mergeCell ref="N247:O247"/>
    <mergeCell ref="D251:E251"/>
    <mergeCell ref="R249:S249"/>
    <mergeCell ref="H272:I272"/>
    <mergeCell ref="D279:V279"/>
    <mergeCell ref="P274:Q274"/>
    <mergeCell ref="L253:M253"/>
    <mergeCell ref="F253:G253"/>
    <mergeCell ref="R244:S244"/>
    <mergeCell ref="F275:G275"/>
    <mergeCell ref="H275:I275"/>
    <mergeCell ref="F270:G270"/>
    <mergeCell ref="N264:O264"/>
    <mergeCell ref="J267:K267"/>
    <mergeCell ref="D268:E268"/>
    <mergeCell ref="D270:E270"/>
    <mergeCell ref="D265:V265"/>
    <mergeCell ref="P253:Q253"/>
    <mergeCell ref="P258:Q258"/>
    <mergeCell ref="L259:M259"/>
    <mergeCell ref="J254:K254"/>
    <mergeCell ref="D247:E247"/>
    <mergeCell ref="N255:O255"/>
    <mergeCell ref="R253:S253"/>
    <mergeCell ref="N270:O270"/>
    <mergeCell ref="F289:G289"/>
    <mergeCell ref="P306:Q306"/>
    <mergeCell ref="H298:I298"/>
    <mergeCell ref="D304:E304"/>
    <mergeCell ref="D299:E299"/>
    <mergeCell ref="F302:V302"/>
    <mergeCell ref="P550:Q550"/>
    <mergeCell ref="P552:Q552"/>
    <mergeCell ref="R550:S550"/>
    <mergeCell ref="L537:M537"/>
    <mergeCell ref="F306:G306"/>
    <mergeCell ref="F607:G607"/>
    <mergeCell ref="J602:K602"/>
    <mergeCell ref="J603:K603"/>
    <mergeCell ref="F297:G297"/>
    <mergeCell ref="N304:O304"/>
    <mergeCell ref="D285:T285"/>
    <mergeCell ref="D271:E271"/>
    <mergeCell ref="J274:K274"/>
    <mergeCell ref="N547:O547"/>
    <mergeCell ref="H532:I532"/>
    <mergeCell ref="L548:M548"/>
    <mergeCell ref="F461:G461"/>
    <mergeCell ref="R500:S500"/>
    <mergeCell ref="P510:Q510"/>
    <mergeCell ref="P547:Q547"/>
    <mergeCell ref="R547:S547"/>
    <mergeCell ref="D273:E273"/>
    <mergeCell ref="F273:G273"/>
    <mergeCell ref="J284:K284"/>
    <mergeCell ref="L284:M284"/>
    <mergeCell ref="D639:E639"/>
    <mergeCell ref="D637:E637"/>
    <mergeCell ref="F639:V639"/>
    <mergeCell ref="D638:T638"/>
    <mergeCell ref="L637:M637"/>
    <mergeCell ref="N637:O637"/>
    <mergeCell ref="R637:S637"/>
    <mergeCell ref="P637:Q637"/>
    <mergeCell ref="F637:G637"/>
    <mergeCell ref="H637:I637"/>
    <mergeCell ref="R633:S633"/>
    <mergeCell ref="R636:S636"/>
    <mergeCell ref="L634:M634"/>
    <mergeCell ref="N633:O633"/>
    <mergeCell ref="P636:Q636"/>
    <mergeCell ref="P634:Q634"/>
    <mergeCell ref="H634:I634"/>
    <mergeCell ref="R634:S634"/>
    <mergeCell ref="N634:O634"/>
    <mergeCell ref="N636:O636"/>
    <mergeCell ref="L636:M636"/>
    <mergeCell ref="D636:E636"/>
    <mergeCell ref="F636:G636"/>
    <mergeCell ref="J637:K637"/>
    <mergeCell ref="J634:K634"/>
    <mergeCell ref="H636:I636"/>
    <mergeCell ref="J636:K636"/>
    <mergeCell ref="D634:E634"/>
    <mergeCell ref="F633:G633"/>
    <mergeCell ref="F634:G634"/>
    <mergeCell ref="P633:Q633"/>
    <mergeCell ref="D633:E633"/>
    <mergeCell ref="L633:M633"/>
    <mergeCell ref="L331:M331"/>
    <mergeCell ref="J559:K559"/>
    <mergeCell ref="D595:E595"/>
    <mergeCell ref="N454:O454"/>
    <mergeCell ref="F470:G470"/>
    <mergeCell ref="D523:E523"/>
    <mergeCell ref="N538:O538"/>
    <mergeCell ref="L493:M493"/>
    <mergeCell ref="F498:G498"/>
    <mergeCell ref="L507:M507"/>
    <mergeCell ref="L514:M514"/>
    <mergeCell ref="N632:O632"/>
    <mergeCell ref="L630:M630"/>
    <mergeCell ref="N630:O630"/>
    <mergeCell ref="D602:E602"/>
    <mergeCell ref="L372:M372"/>
    <mergeCell ref="H633:I633"/>
    <mergeCell ref="J633:K633"/>
    <mergeCell ref="H603:I603"/>
    <mergeCell ref="D596:E596"/>
    <mergeCell ref="D619:E619"/>
    <mergeCell ref="F619:G619"/>
    <mergeCell ref="F623:G623"/>
    <mergeCell ref="H516:I516"/>
    <mergeCell ref="J470:K470"/>
    <mergeCell ref="H469:I469"/>
    <mergeCell ref="J478:K478"/>
    <mergeCell ref="L478:M478"/>
    <mergeCell ref="N486:O486"/>
    <mergeCell ref="L486:M486"/>
    <mergeCell ref="D484:E484"/>
    <mergeCell ref="L632:M632"/>
    <mergeCell ref="D630:E630"/>
    <mergeCell ref="H550:I550"/>
    <mergeCell ref="D623:E623"/>
    <mergeCell ref="L603:M603"/>
    <mergeCell ref="N619:O619"/>
    <mergeCell ref="F530:G530"/>
    <mergeCell ref="J630:K630"/>
    <mergeCell ref="D622:V622"/>
    <mergeCell ref="C584:V584"/>
    <mergeCell ref="R620:S620"/>
    <mergeCell ref="F620:G620"/>
    <mergeCell ref="P546:Q546"/>
    <mergeCell ref="D625:E625"/>
    <mergeCell ref="J625:K625"/>
    <mergeCell ref="J538:K538"/>
    <mergeCell ref="N539:O539"/>
    <mergeCell ref="H533:I533"/>
    <mergeCell ref="L530:M530"/>
    <mergeCell ref="H620:I620"/>
    <mergeCell ref="D591:E591"/>
    <mergeCell ref="J620:K620"/>
    <mergeCell ref="L620:M620"/>
    <mergeCell ref="R607:S607"/>
    <mergeCell ref="D605:E605"/>
    <mergeCell ref="R609:S609"/>
    <mergeCell ref="P586:Q586"/>
    <mergeCell ref="F586:G586"/>
    <mergeCell ref="J616:K616"/>
    <mergeCell ref="L611:M611"/>
    <mergeCell ref="D604:T604"/>
    <mergeCell ref="R545:S545"/>
    <mergeCell ref="J551:K551"/>
    <mergeCell ref="D543:E543"/>
    <mergeCell ref="D530:E530"/>
    <mergeCell ref="D550:E550"/>
    <mergeCell ref="R586:S586"/>
    <mergeCell ref="R596:S596"/>
    <mergeCell ref="L519:M519"/>
    <mergeCell ref="H517:I517"/>
    <mergeCell ref="H531:I531"/>
    <mergeCell ref="P518:Q518"/>
    <mergeCell ref="L539:M539"/>
    <mergeCell ref="D526:T526"/>
    <mergeCell ref="L533:M533"/>
    <mergeCell ref="P630:Q630"/>
    <mergeCell ref="H519:I519"/>
    <mergeCell ref="R560:S560"/>
    <mergeCell ref="F560:G560"/>
    <mergeCell ref="L532:M532"/>
    <mergeCell ref="P519:Q519"/>
    <mergeCell ref="N524:O524"/>
    <mergeCell ref="J531:K531"/>
    <mergeCell ref="R625:S625"/>
    <mergeCell ref="R519:S519"/>
    <mergeCell ref="P562:Q562"/>
    <mergeCell ref="N625:O625"/>
    <mergeCell ref="F630:G630"/>
    <mergeCell ref="P549:Q549"/>
    <mergeCell ref="L524:M524"/>
    <mergeCell ref="P548:Q548"/>
    <mergeCell ref="D576:E576"/>
    <mergeCell ref="J568:K568"/>
    <mergeCell ref="H601:I601"/>
    <mergeCell ref="H525:I525"/>
    <mergeCell ref="J525:K525"/>
    <mergeCell ref="N561:O561"/>
    <mergeCell ref="L562:M562"/>
    <mergeCell ref="H630:I630"/>
    <mergeCell ref="R554:S554"/>
    <mergeCell ref="P611:Q611"/>
    <mergeCell ref="P619:Q619"/>
    <mergeCell ref="D545:E545"/>
    <mergeCell ref="N545:O545"/>
    <mergeCell ref="J547:K547"/>
    <mergeCell ref="R623:S623"/>
    <mergeCell ref="N603:O603"/>
    <mergeCell ref="R611:S611"/>
    <mergeCell ref="J608:K608"/>
    <mergeCell ref="L550:M550"/>
    <mergeCell ref="H547:I547"/>
    <mergeCell ref="F547:G547"/>
    <mergeCell ref="R551:S551"/>
    <mergeCell ref="P530:Q530"/>
    <mergeCell ref="R530:S530"/>
    <mergeCell ref="D527:E527"/>
    <mergeCell ref="H539:I539"/>
    <mergeCell ref="H559:I559"/>
    <mergeCell ref="D567:E567"/>
    <mergeCell ref="H551:I551"/>
    <mergeCell ref="C528:V528"/>
    <mergeCell ref="R568:S568"/>
    <mergeCell ref="F553:G553"/>
    <mergeCell ref="D573:E573"/>
    <mergeCell ref="F569:G569"/>
    <mergeCell ref="L563:M563"/>
    <mergeCell ref="J201:K201"/>
    <mergeCell ref="J255:K255"/>
    <mergeCell ref="L227:M227"/>
    <mergeCell ref="N227:O227"/>
    <mergeCell ref="D244:E244"/>
    <mergeCell ref="F244:G244"/>
    <mergeCell ref="R256:S256"/>
    <mergeCell ref="L206:M206"/>
    <mergeCell ref="H537:I537"/>
    <mergeCell ref="J539:K539"/>
    <mergeCell ref="L538:M538"/>
    <mergeCell ref="R539:S539"/>
    <mergeCell ref="F525:G525"/>
    <mergeCell ref="F517:G517"/>
    <mergeCell ref="P539:Q539"/>
    <mergeCell ref="R515:S515"/>
    <mergeCell ref="N532:O532"/>
    <mergeCell ref="N519:O519"/>
    <mergeCell ref="J537:K537"/>
    <mergeCell ref="R537:S537"/>
    <mergeCell ref="L515:M515"/>
    <mergeCell ref="L523:M523"/>
    <mergeCell ref="N531:O531"/>
    <mergeCell ref="F523:G523"/>
    <mergeCell ref="D520:T520"/>
    <mergeCell ref="F515:G515"/>
    <mergeCell ref="R517:S517"/>
    <mergeCell ref="P482:Q482"/>
    <mergeCell ref="R503:S503"/>
    <mergeCell ref="D483:T483"/>
    <mergeCell ref="P497:Q497"/>
    <mergeCell ref="F479:G479"/>
    <mergeCell ref="H200:I200"/>
    <mergeCell ref="P217:Q217"/>
    <mergeCell ref="N219:O219"/>
    <mergeCell ref="J273:K273"/>
    <mergeCell ref="H632:I632"/>
    <mergeCell ref="J549:K549"/>
    <mergeCell ref="F548:G548"/>
    <mergeCell ref="R632:S632"/>
    <mergeCell ref="D579:E579"/>
    <mergeCell ref="N562:O562"/>
    <mergeCell ref="L579:M579"/>
    <mergeCell ref="R630:S630"/>
    <mergeCell ref="R561:S561"/>
    <mergeCell ref="F632:G632"/>
    <mergeCell ref="D632:E632"/>
    <mergeCell ref="F519:G519"/>
    <mergeCell ref="P632:Q632"/>
    <mergeCell ref="J632:K632"/>
    <mergeCell ref="F627:V627"/>
    <mergeCell ref="H625:I625"/>
    <mergeCell ref="H567:I567"/>
    <mergeCell ref="D535:E535"/>
    <mergeCell ref="J533:K533"/>
    <mergeCell ref="F532:G532"/>
    <mergeCell ref="J205:K205"/>
    <mergeCell ref="P235:Q235"/>
    <mergeCell ref="N201:O201"/>
    <mergeCell ref="F259:G259"/>
    <mergeCell ref="N257:O257"/>
    <mergeCell ref="P206:Q206"/>
    <mergeCell ref="D517:E517"/>
    <mergeCell ref="R538:S538"/>
    <mergeCell ref="L199:M199"/>
    <mergeCell ref="L189:M189"/>
    <mergeCell ref="D198:E198"/>
    <mergeCell ref="J199:K199"/>
    <mergeCell ref="H258:I258"/>
    <mergeCell ref="P216:Q216"/>
    <mergeCell ref="H281:I281"/>
    <mergeCell ref="R200:S200"/>
    <mergeCell ref="R186:S186"/>
    <mergeCell ref="L188:M188"/>
    <mergeCell ref="N198:O198"/>
    <mergeCell ref="D193:E193"/>
    <mergeCell ref="F246:G246"/>
    <mergeCell ref="P233:Q233"/>
    <mergeCell ref="P241:Q241"/>
    <mergeCell ref="J239:K239"/>
    <mergeCell ref="N249:O249"/>
    <mergeCell ref="H211:I211"/>
    <mergeCell ref="R231:S231"/>
    <mergeCell ref="H267:I267"/>
    <mergeCell ref="F264:G264"/>
    <mergeCell ref="F188:G188"/>
    <mergeCell ref="P202:Q202"/>
    <mergeCell ref="R211:S211"/>
    <mergeCell ref="N226:O226"/>
    <mergeCell ref="R206:S206"/>
    <mergeCell ref="J237:K237"/>
    <mergeCell ref="F251:V251"/>
    <mergeCell ref="R259:S259"/>
    <mergeCell ref="L258:M258"/>
    <mergeCell ref="J281:K281"/>
    <mergeCell ref="J271:K271"/>
    <mergeCell ref="L122:M122"/>
    <mergeCell ref="D261:E261"/>
    <mergeCell ref="L154:M154"/>
    <mergeCell ref="N154:O154"/>
    <mergeCell ref="P154:Q154"/>
    <mergeCell ref="D253:E253"/>
    <mergeCell ref="D255:E255"/>
    <mergeCell ref="L145:M145"/>
    <mergeCell ref="F161:G161"/>
    <mergeCell ref="D155:E155"/>
    <mergeCell ref="H155:I155"/>
    <mergeCell ref="D152:E152"/>
    <mergeCell ref="F152:G152"/>
    <mergeCell ref="H179:I179"/>
    <mergeCell ref="D170:E170"/>
    <mergeCell ref="N144:O144"/>
    <mergeCell ref="H150:I150"/>
    <mergeCell ref="N188:O188"/>
    <mergeCell ref="H161:I161"/>
    <mergeCell ref="J170:K170"/>
    <mergeCell ref="L170:M170"/>
    <mergeCell ref="P122:Q122"/>
    <mergeCell ref="L125:M125"/>
    <mergeCell ref="N125:O125"/>
    <mergeCell ref="P125:Q125"/>
    <mergeCell ref="D139:E139"/>
    <mergeCell ref="F130:G130"/>
    <mergeCell ref="H253:I253"/>
    <mergeCell ref="L254:M254"/>
    <mergeCell ref="J228:K228"/>
    <mergeCell ref="F228:G228"/>
    <mergeCell ref="H228:I228"/>
    <mergeCell ref="R122:S122"/>
    <mergeCell ref="D123:E123"/>
    <mergeCell ref="F123:G123"/>
    <mergeCell ref="N137:O137"/>
    <mergeCell ref="F114:G114"/>
    <mergeCell ref="L137:M137"/>
    <mergeCell ref="J137:K137"/>
    <mergeCell ref="L114:M114"/>
    <mergeCell ref="D137:E137"/>
    <mergeCell ref="L134:M134"/>
    <mergeCell ref="R130:S130"/>
    <mergeCell ref="J114:K114"/>
    <mergeCell ref="R237:S237"/>
    <mergeCell ref="R199:S199"/>
    <mergeCell ref="N167:O167"/>
    <mergeCell ref="D169:V169"/>
    <mergeCell ref="D166:V166"/>
    <mergeCell ref="D164:V164"/>
    <mergeCell ref="J167:K167"/>
    <mergeCell ref="H168:I168"/>
    <mergeCell ref="D121:E121"/>
    <mergeCell ref="F121:G121"/>
    <mergeCell ref="N136:O136"/>
    <mergeCell ref="P167:Q167"/>
    <mergeCell ref="F165:G165"/>
    <mergeCell ref="H146:I146"/>
    <mergeCell ref="H145:I145"/>
    <mergeCell ref="L130:M130"/>
    <mergeCell ref="D134:E134"/>
    <mergeCell ref="F115:G115"/>
    <mergeCell ref="F132:V132"/>
    <mergeCell ref="J125:K125"/>
    <mergeCell ref="R125:S125"/>
    <mergeCell ref="D124:E124"/>
    <mergeCell ref="F124:G124"/>
    <mergeCell ref="R120:S120"/>
    <mergeCell ref="P114:Q114"/>
    <mergeCell ref="F113:G113"/>
    <mergeCell ref="H114:I114"/>
    <mergeCell ref="D117:T117"/>
    <mergeCell ref="D118:E118"/>
    <mergeCell ref="D114:E114"/>
    <mergeCell ref="R116:S116"/>
    <mergeCell ref="P113:Q113"/>
    <mergeCell ref="N104:O104"/>
    <mergeCell ref="J110:K110"/>
    <mergeCell ref="F112:G112"/>
    <mergeCell ref="J105:K105"/>
    <mergeCell ref="H112:I112"/>
    <mergeCell ref="D116:E116"/>
    <mergeCell ref="L112:M112"/>
    <mergeCell ref="L104:M104"/>
    <mergeCell ref="L121:M121"/>
    <mergeCell ref="N121:O121"/>
    <mergeCell ref="P121:Q121"/>
    <mergeCell ref="R121:S121"/>
    <mergeCell ref="L123:M123"/>
    <mergeCell ref="N123:O123"/>
    <mergeCell ref="P123:Q123"/>
    <mergeCell ref="R123:S123"/>
    <mergeCell ref="L111:M111"/>
    <mergeCell ref="J104:K104"/>
    <mergeCell ref="H111:I111"/>
    <mergeCell ref="N111:O111"/>
    <mergeCell ref="P111:Q111"/>
    <mergeCell ref="P105:Q105"/>
    <mergeCell ref="R113:S113"/>
    <mergeCell ref="R112:S112"/>
    <mergeCell ref="H102:I102"/>
    <mergeCell ref="L103:M103"/>
    <mergeCell ref="N100:O100"/>
    <mergeCell ref="R103:S103"/>
    <mergeCell ref="J102:K102"/>
    <mergeCell ref="L102:M102"/>
    <mergeCell ref="H100:I100"/>
    <mergeCell ref="N103:O103"/>
    <mergeCell ref="P103:Q103"/>
    <mergeCell ref="P101:Q101"/>
    <mergeCell ref="N105:O105"/>
    <mergeCell ref="N113:O113"/>
    <mergeCell ref="J101:K101"/>
    <mergeCell ref="R110:S110"/>
    <mergeCell ref="R100:S100"/>
    <mergeCell ref="R102:S102"/>
    <mergeCell ref="H113:I113"/>
    <mergeCell ref="P110:Q110"/>
    <mergeCell ref="N110:O110"/>
    <mergeCell ref="F110:G110"/>
    <mergeCell ref="L110:M110"/>
    <mergeCell ref="H110:I110"/>
    <mergeCell ref="H105:I105"/>
    <mergeCell ref="J99:K99"/>
    <mergeCell ref="P104:Q104"/>
    <mergeCell ref="F104:G104"/>
    <mergeCell ref="F107:V107"/>
    <mergeCell ref="F100:G100"/>
    <mergeCell ref="H98:I98"/>
    <mergeCell ref="J98:K98"/>
    <mergeCell ref="L98:M98"/>
    <mergeCell ref="J103:K103"/>
    <mergeCell ref="L100:M100"/>
    <mergeCell ref="J100:K100"/>
    <mergeCell ref="L105:M105"/>
    <mergeCell ref="H99:I99"/>
    <mergeCell ref="P102:Q102"/>
    <mergeCell ref="R99:S99"/>
    <mergeCell ref="R105:S105"/>
    <mergeCell ref="F99:G99"/>
    <mergeCell ref="D109:V109"/>
    <mergeCell ref="F101:G101"/>
    <mergeCell ref="H101:I101"/>
    <mergeCell ref="R101:S101"/>
    <mergeCell ref="D99:E99"/>
    <mergeCell ref="L99:M99"/>
    <mergeCell ref="L86:M86"/>
    <mergeCell ref="N86:O86"/>
    <mergeCell ref="J96:K96"/>
    <mergeCell ref="H97:I97"/>
    <mergeCell ref="P99:Q99"/>
    <mergeCell ref="P100:Q100"/>
    <mergeCell ref="F90:G90"/>
    <mergeCell ref="D91:T91"/>
    <mergeCell ref="D92:E92"/>
    <mergeCell ref="R90:S90"/>
    <mergeCell ref="N87:O87"/>
    <mergeCell ref="H83:I83"/>
    <mergeCell ref="J83:K83"/>
    <mergeCell ref="P89:Q89"/>
    <mergeCell ref="H96:I96"/>
    <mergeCell ref="R96:S96"/>
    <mergeCell ref="H104:I104"/>
    <mergeCell ref="R98:S98"/>
    <mergeCell ref="F98:G98"/>
    <mergeCell ref="L97:M97"/>
    <mergeCell ref="P97:Q97"/>
    <mergeCell ref="P96:Q96"/>
    <mergeCell ref="F96:G96"/>
    <mergeCell ref="P98:Q98"/>
    <mergeCell ref="N98:O98"/>
    <mergeCell ref="D30:E30"/>
    <mergeCell ref="D28:E28"/>
    <mergeCell ref="D29:T29"/>
    <mergeCell ref="P27:Q27"/>
    <mergeCell ref="D20:E20"/>
    <mergeCell ref="F16:G16"/>
    <mergeCell ref="N25:O25"/>
    <mergeCell ref="H28:I28"/>
    <mergeCell ref="D23:E23"/>
    <mergeCell ref="R16:S16"/>
    <mergeCell ref="L25:M25"/>
    <mergeCell ref="F13:G13"/>
    <mergeCell ref="N21:O21"/>
    <mergeCell ref="N27:O27"/>
    <mergeCell ref="D98:E98"/>
    <mergeCell ref="D105:E105"/>
    <mergeCell ref="D100:E100"/>
    <mergeCell ref="D104:E104"/>
    <mergeCell ref="N99:O99"/>
    <mergeCell ref="F105:G105"/>
    <mergeCell ref="N97:O97"/>
    <mergeCell ref="D102:E102"/>
    <mergeCell ref="F102:G102"/>
    <mergeCell ref="D97:E97"/>
    <mergeCell ref="L96:M96"/>
    <mergeCell ref="N96:O96"/>
    <mergeCell ref="N102:O102"/>
    <mergeCell ref="D101:E101"/>
    <mergeCell ref="R82:S82"/>
    <mergeCell ref="D95:E95"/>
    <mergeCell ref="H89:I89"/>
    <mergeCell ref="L83:M83"/>
    <mergeCell ref="H116:I116"/>
    <mergeCell ref="J97:K97"/>
    <mergeCell ref="R97:S97"/>
    <mergeCell ref="N95:O95"/>
    <mergeCell ref="F97:G97"/>
    <mergeCell ref="D112:E112"/>
    <mergeCell ref="R115:S115"/>
    <mergeCell ref="R163:S163"/>
    <mergeCell ref="D144:E144"/>
    <mergeCell ref="R146:S146"/>
    <mergeCell ref="P129:Q129"/>
    <mergeCell ref="P145:Q145"/>
    <mergeCell ref="D120:E120"/>
    <mergeCell ref="P161:Q161"/>
    <mergeCell ref="F103:G103"/>
    <mergeCell ref="H103:I103"/>
    <mergeCell ref="F111:G111"/>
    <mergeCell ref="N112:O112"/>
    <mergeCell ref="J144:K144"/>
    <mergeCell ref="J150:K150"/>
    <mergeCell ref="L150:M150"/>
    <mergeCell ref="L101:M101"/>
    <mergeCell ref="N101:O101"/>
    <mergeCell ref="D103:E103"/>
    <mergeCell ref="J163:K163"/>
    <mergeCell ref="R161:S161"/>
    <mergeCell ref="D160:V160"/>
    <mergeCell ref="L95:M95"/>
    <mergeCell ref="D96:E96"/>
    <mergeCell ref="F150:G150"/>
    <mergeCell ref="N145:O145"/>
    <mergeCell ref="F154:G154"/>
    <mergeCell ref="R497:S497"/>
    <mergeCell ref="J481:K481"/>
    <mergeCell ref="H481:I481"/>
    <mergeCell ref="N497:O497"/>
    <mergeCell ref="P501:Q501"/>
    <mergeCell ref="N482:O482"/>
    <mergeCell ref="P480:Q480"/>
    <mergeCell ref="N493:O493"/>
    <mergeCell ref="N495:O495"/>
    <mergeCell ref="F500:G500"/>
    <mergeCell ref="D505:E505"/>
    <mergeCell ref="F482:G482"/>
    <mergeCell ref="R504:S504"/>
    <mergeCell ref="L480:M480"/>
    <mergeCell ref="J507:K507"/>
    <mergeCell ref="L498:M498"/>
    <mergeCell ref="J496:K496"/>
    <mergeCell ref="N496:O496"/>
    <mergeCell ref="H493:I493"/>
    <mergeCell ref="L495:M495"/>
    <mergeCell ref="R506:S506"/>
    <mergeCell ref="J486:K486"/>
    <mergeCell ref="F484:V484"/>
    <mergeCell ref="R481:S481"/>
    <mergeCell ref="D482:E482"/>
    <mergeCell ref="L501:M501"/>
    <mergeCell ref="J506:K506"/>
    <mergeCell ref="H504:I504"/>
    <mergeCell ref="N500:O500"/>
    <mergeCell ref="F503:G503"/>
    <mergeCell ref="F506:G506"/>
    <mergeCell ref="D498:E498"/>
    <mergeCell ref="J519:K519"/>
    <mergeCell ref="J518:K518"/>
    <mergeCell ref="J515:K515"/>
    <mergeCell ref="J516:K516"/>
    <mergeCell ref="F518:G518"/>
    <mergeCell ref="D512:E512"/>
    <mergeCell ref="H505:I505"/>
    <mergeCell ref="D504:E504"/>
    <mergeCell ref="H503:I503"/>
    <mergeCell ref="J517:K517"/>
    <mergeCell ref="J508:K508"/>
    <mergeCell ref="H507:I507"/>
    <mergeCell ref="J480:K480"/>
    <mergeCell ref="P493:Q493"/>
    <mergeCell ref="D486:E486"/>
    <mergeCell ref="P507:Q507"/>
    <mergeCell ref="P500:Q500"/>
    <mergeCell ref="J505:K505"/>
    <mergeCell ref="D516:E516"/>
    <mergeCell ref="J510:K510"/>
    <mergeCell ref="N530:O530"/>
    <mergeCell ref="D510:E510"/>
    <mergeCell ref="N504:O504"/>
    <mergeCell ref="P516:Q516"/>
    <mergeCell ref="N523:O523"/>
    <mergeCell ref="P523:Q523"/>
    <mergeCell ref="D518:E518"/>
    <mergeCell ref="L500:M500"/>
    <mergeCell ref="R516:S516"/>
    <mergeCell ref="F510:G510"/>
    <mergeCell ref="D497:E497"/>
    <mergeCell ref="H492:I492"/>
    <mergeCell ref="F487:G487"/>
    <mergeCell ref="R514:S514"/>
    <mergeCell ref="D499:V499"/>
    <mergeCell ref="N503:O503"/>
    <mergeCell ref="J514:K514"/>
    <mergeCell ref="N501:O501"/>
    <mergeCell ref="N506:O506"/>
    <mergeCell ref="D506:E506"/>
    <mergeCell ref="R501:S501"/>
    <mergeCell ref="J500:K500"/>
    <mergeCell ref="F505:G505"/>
    <mergeCell ref="R505:S505"/>
    <mergeCell ref="D511:T511"/>
    <mergeCell ref="D514:E514"/>
    <mergeCell ref="H514:I514"/>
    <mergeCell ref="H510:I510"/>
    <mergeCell ref="N517:O517"/>
    <mergeCell ref="D519:E519"/>
    <mergeCell ref="L503:M503"/>
    <mergeCell ref="P506:Q506"/>
    <mergeCell ref="N431:O431"/>
    <mergeCell ref="J437:K437"/>
    <mergeCell ref="J446:K446"/>
    <mergeCell ref="P447:Q447"/>
    <mergeCell ref="P440:Q440"/>
    <mergeCell ref="L453:M453"/>
    <mergeCell ref="H453:I453"/>
    <mergeCell ref="F454:G454"/>
    <mergeCell ref="F480:G480"/>
    <mergeCell ref="D329:E329"/>
    <mergeCell ref="F316:G316"/>
    <mergeCell ref="L308:M308"/>
    <mergeCell ref="F489:V489"/>
    <mergeCell ref="D489:E489"/>
    <mergeCell ref="N487:O487"/>
    <mergeCell ref="D470:E470"/>
    <mergeCell ref="L436:M436"/>
    <mergeCell ref="P425:Q425"/>
    <mergeCell ref="F429:G429"/>
    <mergeCell ref="D350:E350"/>
    <mergeCell ref="J351:K351"/>
    <mergeCell ref="J337:K337"/>
    <mergeCell ref="D341:E341"/>
    <mergeCell ref="F341:G341"/>
    <mergeCell ref="D344:E344"/>
    <mergeCell ref="D333:E333"/>
    <mergeCell ref="H335:I335"/>
    <mergeCell ref="D332:E332"/>
    <mergeCell ref="J331:K331"/>
    <mergeCell ref="P314:Q314"/>
    <mergeCell ref="R315:S315"/>
    <mergeCell ref="R310:S310"/>
    <mergeCell ref="L310:M310"/>
    <mergeCell ref="D378:E378"/>
    <mergeCell ref="D383:S383"/>
    <mergeCell ref="J378:K378"/>
    <mergeCell ref="L378:M378"/>
    <mergeCell ref="H321:I321"/>
    <mergeCell ref="R284:S284"/>
    <mergeCell ref="F286:V286"/>
    <mergeCell ref="H307:I307"/>
    <mergeCell ref="N289:O289"/>
    <mergeCell ref="N295:O295"/>
    <mergeCell ref="L321:M321"/>
    <mergeCell ref="H371:I371"/>
    <mergeCell ref="J371:K371"/>
    <mergeCell ref="P347:Q347"/>
    <mergeCell ref="D324:E324"/>
    <mergeCell ref="J329:K329"/>
    <mergeCell ref="D334:V334"/>
    <mergeCell ref="H332:I332"/>
    <mergeCell ref="N335:O335"/>
    <mergeCell ref="R337:S337"/>
    <mergeCell ref="H340:I340"/>
    <mergeCell ref="J340:K340"/>
    <mergeCell ref="N340:O340"/>
    <mergeCell ref="P340:Q340"/>
    <mergeCell ref="J297:K297"/>
    <mergeCell ref="D290:V290"/>
    <mergeCell ref="L298:M298"/>
    <mergeCell ref="D301:T301"/>
    <mergeCell ref="N300:O300"/>
    <mergeCell ref="P284:Q284"/>
    <mergeCell ref="F298:G298"/>
    <mergeCell ref="N237:O237"/>
    <mergeCell ref="D250:T250"/>
    <mergeCell ref="R243:S243"/>
    <mergeCell ref="L243:M243"/>
    <mergeCell ref="P243:Q243"/>
    <mergeCell ref="L255:M255"/>
    <mergeCell ref="P239:Q239"/>
    <mergeCell ref="P255:Q255"/>
    <mergeCell ref="D284:E284"/>
    <mergeCell ref="L271:M271"/>
    <mergeCell ref="D274:E274"/>
    <mergeCell ref="L239:M239"/>
    <mergeCell ref="R264:S264"/>
    <mergeCell ref="L270:M270"/>
    <mergeCell ref="J392:K392"/>
    <mergeCell ref="R380:S380"/>
    <mergeCell ref="P382:Q382"/>
    <mergeCell ref="H316:I316"/>
    <mergeCell ref="P349:Q349"/>
    <mergeCell ref="N351:O351"/>
    <mergeCell ref="J282:K282"/>
    <mergeCell ref="F274:G274"/>
    <mergeCell ref="H274:I274"/>
    <mergeCell ref="H297:I297"/>
    <mergeCell ref="F299:G299"/>
    <mergeCell ref="F304:G304"/>
    <mergeCell ref="D305:E305"/>
    <mergeCell ref="L294:M294"/>
    <mergeCell ref="F294:G294"/>
    <mergeCell ref="F305:G305"/>
    <mergeCell ref="J330:K330"/>
    <mergeCell ref="N352:O352"/>
    <mergeCell ref="R217:S217"/>
    <mergeCell ref="H259:I259"/>
    <mergeCell ref="P256:Q256"/>
    <mergeCell ref="F307:G307"/>
    <mergeCell ref="L307:M307"/>
    <mergeCell ref="J299:K299"/>
    <mergeCell ref="H273:I273"/>
    <mergeCell ref="D258:E258"/>
    <mergeCell ref="H306:I306"/>
    <mergeCell ref="L225:M225"/>
    <mergeCell ref="P249:Q249"/>
    <mergeCell ref="F249:G249"/>
    <mergeCell ref="R245:S245"/>
    <mergeCell ref="J243:K243"/>
    <mergeCell ref="N244:O244"/>
    <mergeCell ref="D225:E225"/>
    <mergeCell ref="D277:E277"/>
    <mergeCell ref="F277:G277"/>
    <mergeCell ref="H231:I231"/>
    <mergeCell ref="N254:O254"/>
    <mergeCell ref="P294:Q294"/>
    <mergeCell ref="H271:I271"/>
    <mergeCell ref="H268:I268"/>
    <mergeCell ref="D266:V266"/>
    <mergeCell ref="P268:Q268"/>
    <mergeCell ref="F271:G271"/>
    <mergeCell ref="R281:S281"/>
    <mergeCell ref="P242:Q242"/>
    <mergeCell ref="L234:M234"/>
    <mergeCell ref="D286:E286"/>
    <mergeCell ref="P271:Q271"/>
    <mergeCell ref="P267:Q267"/>
    <mergeCell ref="J403:K403"/>
    <mergeCell ref="L314:M314"/>
    <mergeCell ref="J314:K314"/>
    <mergeCell ref="L467:M467"/>
    <mergeCell ref="H315:I315"/>
    <mergeCell ref="H310:I310"/>
    <mergeCell ref="N314:O314"/>
    <mergeCell ref="J304:K304"/>
    <mergeCell ref="F308:G308"/>
    <mergeCell ref="N307:O307"/>
    <mergeCell ref="D310:E310"/>
    <mergeCell ref="N429:O429"/>
    <mergeCell ref="D430:V430"/>
    <mergeCell ref="F404:G404"/>
    <mergeCell ref="H392:I392"/>
    <mergeCell ref="R443:S443"/>
    <mergeCell ref="F400:V400"/>
    <mergeCell ref="D395:V395"/>
    <mergeCell ref="D391:V391"/>
    <mergeCell ref="F337:G337"/>
    <mergeCell ref="H337:I337"/>
    <mergeCell ref="P343:Q343"/>
    <mergeCell ref="N337:O337"/>
    <mergeCell ref="L322:M322"/>
    <mergeCell ref="N331:O331"/>
    <mergeCell ref="P331:Q331"/>
    <mergeCell ref="H333:I333"/>
    <mergeCell ref="L341:M341"/>
    <mergeCell ref="P424:Q424"/>
    <mergeCell ref="P380:Q380"/>
    <mergeCell ref="H339:I339"/>
    <mergeCell ref="J339:K339"/>
    <mergeCell ref="L231:M231"/>
    <mergeCell ref="N233:O233"/>
    <mergeCell ref="R247:S247"/>
    <mergeCell ref="D236:V236"/>
    <mergeCell ref="L268:M268"/>
    <mergeCell ref="R270:S270"/>
    <mergeCell ref="H294:I294"/>
    <mergeCell ref="D311:T311"/>
    <mergeCell ref="F312:V312"/>
    <mergeCell ref="D330:E330"/>
    <mergeCell ref="R329:S329"/>
    <mergeCell ref="R316:S316"/>
    <mergeCell ref="D309:E309"/>
    <mergeCell ref="R306:S306"/>
    <mergeCell ref="J259:K259"/>
    <mergeCell ref="P246:Q246"/>
    <mergeCell ref="R267:S267"/>
    <mergeCell ref="P259:Q259"/>
    <mergeCell ref="R235:S235"/>
    <mergeCell ref="J270:K270"/>
    <mergeCell ref="N259:O259"/>
    <mergeCell ref="J268:K268"/>
    <mergeCell ref="H257:I257"/>
    <mergeCell ref="R268:S268"/>
    <mergeCell ref="N315:O315"/>
    <mergeCell ref="N298:O298"/>
    <mergeCell ref="J258:K258"/>
    <mergeCell ref="L256:M256"/>
    <mergeCell ref="N256:O256"/>
    <mergeCell ref="R258:S258"/>
    <mergeCell ref="P254:Q254"/>
    <mergeCell ref="F243:G243"/>
    <mergeCell ref="J298:K298"/>
    <mergeCell ref="J295:K295"/>
    <mergeCell ref="N291:O291"/>
    <mergeCell ref="D288:V288"/>
    <mergeCell ref="F282:G282"/>
    <mergeCell ref="J296:K296"/>
    <mergeCell ref="F300:G300"/>
    <mergeCell ref="P299:Q299"/>
    <mergeCell ref="R304:S304"/>
    <mergeCell ref="J306:K306"/>
    <mergeCell ref="D370:V370"/>
    <mergeCell ref="P369:Q369"/>
    <mergeCell ref="L373:M373"/>
    <mergeCell ref="R305:S305"/>
    <mergeCell ref="F322:G322"/>
    <mergeCell ref="D281:E281"/>
    <mergeCell ref="D307:E307"/>
    <mergeCell ref="D308:E308"/>
    <mergeCell ref="D295:E295"/>
    <mergeCell ref="R340:S340"/>
    <mergeCell ref="J327:K327"/>
    <mergeCell ref="P324:Q324"/>
    <mergeCell ref="L329:M329"/>
    <mergeCell ref="L332:M332"/>
    <mergeCell ref="D322:E322"/>
    <mergeCell ref="J338:K338"/>
    <mergeCell ref="L338:M338"/>
    <mergeCell ref="N338:O338"/>
    <mergeCell ref="P338:Q338"/>
    <mergeCell ref="F338:G338"/>
    <mergeCell ref="D347:E347"/>
    <mergeCell ref="P333:Q333"/>
    <mergeCell ref="J373:K373"/>
    <mergeCell ref="F339:G339"/>
    <mergeCell ref="L241:M241"/>
    <mergeCell ref="D241:E241"/>
    <mergeCell ref="F242:G242"/>
    <mergeCell ref="H242:I242"/>
    <mergeCell ref="D227:E227"/>
    <mergeCell ref="F87:G87"/>
    <mergeCell ref="D65:E65"/>
    <mergeCell ref="F69:G69"/>
    <mergeCell ref="R83:S83"/>
    <mergeCell ref="H81:I81"/>
    <mergeCell ref="J81:K81"/>
    <mergeCell ref="P81:Q81"/>
    <mergeCell ref="L80:M80"/>
    <mergeCell ref="H69:I69"/>
    <mergeCell ref="D68:E68"/>
    <mergeCell ref="J68:K68"/>
    <mergeCell ref="D82:E82"/>
    <mergeCell ref="F80:G80"/>
    <mergeCell ref="N80:O80"/>
    <mergeCell ref="P75:Q75"/>
    <mergeCell ref="F70:G70"/>
    <mergeCell ref="D70:E70"/>
    <mergeCell ref="D87:E87"/>
    <mergeCell ref="D80:E80"/>
    <mergeCell ref="L81:M81"/>
    <mergeCell ref="L65:M65"/>
    <mergeCell ref="D85:V85"/>
    <mergeCell ref="J75:K75"/>
    <mergeCell ref="L75:M75"/>
    <mergeCell ref="R227:S227"/>
    <mergeCell ref="R81:S81"/>
    <mergeCell ref="R87:S87"/>
    <mergeCell ref="D84:V84"/>
    <mergeCell ref="J87:K87"/>
    <mergeCell ref="L87:M87"/>
    <mergeCell ref="J89:K89"/>
    <mergeCell ref="P58:Q58"/>
    <mergeCell ref="R86:S86"/>
    <mergeCell ref="R69:S69"/>
    <mergeCell ref="H71:I71"/>
    <mergeCell ref="N71:O71"/>
    <mergeCell ref="J71:K71"/>
    <mergeCell ref="D72:T72"/>
    <mergeCell ref="D69:E69"/>
    <mergeCell ref="N65:O65"/>
    <mergeCell ref="F68:G68"/>
    <mergeCell ref="H58:I58"/>
    <mergeCell ref="D75:E75"/>
    <mergeCell ref="D67:E67"/>
    <mergeCell ref="J65:K65"/>
    <mergeCell ref="F60:V60"/>
    <mergeCell ref="R64:S64"/>
    <mergeCell ref="N89:O89"/>
    <mergeCell ref="R89:S89"/>
    <mergeCell ref="L89:M89"/>
    <mergeCell ref="H80:I80"/>
    <mergeCell ref="P70:Q70"/>
    <mergeCell ref="D73:E73"/>
    <mergeCell ref="P86:Q86"/>
    <mergeCell ref="H87:I87"/>
    <mergeCell ref="D86:E86"/>
    <mergeCell ref="F86:G86"/>
    <mergeCell ref="F77:V77"/>
    <mergeCell ref="R80:S80"/>
    <mergeCell ref="P56:Q56"/>
    <mergeCell ref="H86:I86"/>
    <mergeCell ref="J86:K86"/>
    <mergeCell ref="H57:I57"/>
    <mergeCell ref="N32:O32"/>
    <mergeCell ref="J48:K48"/>
    <mergeCell ref="D51:E51"/>
    <mergeCell ref="F56:G56"/>
    <mergeCell ref="D59:T59"/>
    <mergeCell ref="P64:Q64"/>
    <mergeCell ref="J67:K67"/>
    <mergeCell ref="R71:S71"/>
    <mergeCell ref="R34:S34"/>
    <mergeCell ref="R45:S45"/>
    <mergeCell ref="D46:E46"/>
    <mergeCell ref="N83:O83"/>
    <mergeCell ref="D79:V79"/>
    <mergeCell ref="F75:G75"/>
    <mergeCell ref="L68:M68"/>
    <mergeCell ref="P71:Q71"/>
    <mergeCell ref="F73:V73"/>
    <mergeCell ref="P65:Q65"/>
    <mergeCell ref="L67:M67"/>
    <mergeCell ref="H70:I70"/>
    <mergeCell ref="P68:Q68"/>
    <mergeCell ref="P67:Q67"/>
    <mergeCell ref="N63:O63"/>
    <mergeCell ref="D64:E64"/>
    <mergeCell ref="F36:V36"/>
    <mergeCell ref="H54:I54"/>
    <mergeCell ref="L63:M63"/>
    <mergeCell ref="R48:S48"/>
    <mergeCell ref="P47:Q47"/>
    <mergeCell ref="H48:I48"/>
    <mergeCell ref="J58:K58"/>
    <mergeCell ref="R54:S54"/>
    <mergeCell ref="R63:S63"/>
    <mergeCell ref="L58:M58"/>
    <mergeCell ref="N58:O58"/>
    <mergeCell ref="D58:E58"/>
    <mergeCell ref="D34:E34"/>
    <mergeCell ref="L57:M57"/>
    <mergeCell ref="N57:O57"/>
    <mergeCell ref="D43:E43"/>
    <mergeCell ref="D35:T35"/>
    <mergeCell ref="R67:S67"/>
    <mergeCell ref="P34:Q34"/>
    <mergeCell ref="F39:G39"/>
    <mergeCell ref="R58:S58"/>
    <mergeCell ref="L64:M64"/>
    <mergeCell ref="N64:O64"/>
    <mergeCell ref="F58:G58"/>
    <mergeCell ref="J34:K34"/>
    <mergeCell ref="P49:Q49"/>
    <mergeCell ref="H68:I68"/>
    <mergeCell ref="H65:I65"/>
    <mergeCell ref="J12:K12"/>
    <mergeCell ref="N12:O12"/>
    <mergeCell ref="D53:E53"/>
    <mergeCell ref="N53:O53"/>
    <mergeCell ref="R25:S25"/>
    <mergeCell ref="D39:E39"/>
    <mergeCell ref="F15:G15"/>
    <mergeCell ref="J25:K25"/>
    <mergeCell ref="H13:I13"/>
    <mergeCell ref="H32:I32"/>
    <mergeCell ref="L34:M34"/>
    <mergeCell ref="R32:S32"/>
    <mergeCell ref="R27:S27"/>
    <mergeCell ref="L33:M33"/>
    <mergeCell ref="N33:O33"/>
    <mergeCell ref="R38:S38"/>
    <mergeCell ref="R28:S28"/>
    <mergeCell ref="H26:I26"/>
    <mergeCell ref="R39:S39"/>
    <mergeCell ref="D16:E16"/>
    <mergeCell ref="F21:G21"/>
    <mergeCell ref="N14:O14"/>
    <mergeCell ref="J14:K14"/>
    <mergeCell ref="J56:K56"/>
    <mergeCell ref="L56:M56"/>
    <mergeCell ref="N56:O56"/>
    <mergeCell ref="R56:S56"/>
    <mergeCell ref="D57:E57"/>
    <mergeCell ref="F57:G57"/>
    <mergeCell ref="R65:S65"/>
    <mergeCell ref="A2:V2"/>
    <mergeCell ref="D6:E6"/>
    <mergeCell ref="H16:I16"/>
    <mergeCell ref="J6:K6"/>
    <mergeCell ref="J7:K7"/>
    <mergeCell ref="H8:I8"/>
    <mergeCell ref="J16:K16"/>
    <mergeCell ref="P16:Q16"/>
    <mergeCell ref="N16:O16"/>
    <mergeCell ref="H15:I15"/>
    <mergeCell ref="N46:O46"/>
    <mergeCell ref="R47:S47"/>
    <mergeCell ref="P45:Q45"/>
    <mergeCell ref="D8:E8"/>
    <mergeCell ref="J15:K15"/>
    <mergeCell ref="F8:G8"/>
    <mergeCell ref="H9:I9"/>
    <mergeCell ref="F18:V18"/>
    <mergeCell ref="F47:G47"/>
    <mergeCell ref="H10:I10"/>
    <mergeCell ref="L47:M47"/>
    <mergeCell ref="J32:K32"/>
    <mergeCell ref="H20:I20"/>
    <mergeCell ref="F23:V23"/>
    <mergeCell ref="F44:G44"/>
    <mergeCell ref="D22:T22"/>
    <mergeCell ref="N26:O26"/>
    <mergeCell ref="F26:G26"/>
    <mergeCell ref="H25:I25"/>
    <mergeCell ref="D25:E25"/>
    <mergeCell ref="D27:E27"/>
    <mergeCell ref="F27:G27"/>
    <mergeCell ref="N8:O8"/>
    <mergeCell ref="P28:Q28"/>
    <mergeCell ref="R6:S6"/>
    <mergeCell ref="J28:K28"/>
    <mergeCell ref="P9:Q9"/>
    <mergeCell ref="L16:M16"/>
    <mergeCell ref="P6:Q6"/>
    <mergeCell ref="R9:S9"/>
    <mergeCell ref="H43:I43"/>
    <mergeCell ref="P39:Q39"/>
    <mergeCell ref="H44:I44"/>
    <mergeCell ref="D9:E9"/>
    <mergeCell ref="D49:E49"/>
    <mergeCell ref="R33:S33"/>
    <mergeCell ref="P33:Q33"/>
    <mergeCell ref="N39:O39"/>
    <mergeCell ref="F33:G33"/>
    <mergeCell ref="L32:M32"/>
    <mergeCell ref="D26:E26"/>
    <mergeCell ref="F48:G48"/>
    <mergeCell ref="F25:G25"/>
    <mergeCell ref="F28:G28"/>
    <mergeCell ref="L28:M28"/>
    <mergeCell ref="F20:G20"/>
    <mergeCell ref="J27:K27"/>
    <mergeCell ref="L14:M14"/>
    <mergeCell ref="L12:M12"/>
    <mergeCell ref="L26:M26"/>
    <mergeCell ref="L27:M27"/>
    <mergeCell ref="H27:I27"/>
    <mergeCell ref="J26:K26"/>
    <mergeCell ref="H21:I21"/>
    <mergeCell ref="F9:G9"/>
    <mergeCell ref="J47:K47"/>
    <mergeCell ref="N45:O45"/>
    <mergeCell ref="J46:K46"/>
    <mergeCell ref="L53:M53"/>
    <mergeCell ref="P53:Q53"/>
    <mergeCell ref="L45:M45"/>
    <mergeCell ref="H53:I53"/>
    <mergeCell ref="P54:Q54"/>
    <mergeCell ref="J53:K53"/>
    <mergeCell ref="R20:S20"/>
    <mergeCell ref="H34:I34"/>
    <mergeCell ref="D17:T17"/>
    <mergeCell ref="P32:Q32"/>
    <mergeCell ref="F11:G11"/>
    <mergeCell ref="N10:O10"/>
    <mergeCell ref="N9:O9"/>
    <mergeCell ref="H11:I11"/>
    <mergeCell ref="F41:V41"/>
    <mergeCell ref="R26:S26"/>
    <mergeCell ref="J43:K43"/>
    <mergeCell ref="R44:S44"/>
    <mergeCell ref="L44:M44"/>
    <mergeCell ref="L38:M38"/>
    <mergeCell ref="N38:O38"/>
    <mergeCell ref="D38:E38"/>
    <mergeCell ref="F51:V51"/>
    <mergeCell ref="R53:S53"/>
    <mergeCell ref="D50:T50"/>
    <mergeCell ref="N28:O28"/>
    <mergeCell ref="D12:E12"/>
    <mergeCell ref="D21:E21"/>
    <mergeCell ref="D10:E10"/>
    <mergeCell ref="L13:M13"/>
    <mergeCell ref="N11:O11"/>
    <mergeCell ref="R14:S14"/>
    <mergeCell ref="F49:G49"/>
    <mergeCell ref="N49:O49"/>
    <mergeCell ref="J49:K49"/>
    <mergeCell ref="N44:O44"/>
    <mergeCell ref="L43:M43"/>
    <mergeCell ref="H39:I39"/>
    <mergeCell ref="P46:Q46"/>
    <mergeCell ref="J39:K39"/>
    <mergeCell ref="L39:M39"/>
    <mergeCell ref="F10:G10"/>
    <mergeCell ref="J55:K55"/>
    <mergeCell ref="L55:M55"/>
    <mergeCell ref="R15:S15"/>
    <mergeCell ref="F46:G46"/>
    <mergeCell ref="H46:I46"/>
    <mergeCell ref="N54:O54"/>
    <mergeCell ref="P48:Q48"/>
    <mergeCell ref="H47:I47"/>
    <mergeCell ref="F53:G53"/>
    <mergeCell ref="F45:G45"/>
    <mergeCell ref="D47:E47"/>
    <mergeCell ref="D48:E48"/>
    <mergeCell ref="P38:Q38"/>
    <mergeCell ref="F12:G12"/>
    <mergeCell ref="P13:Q13"/>
    <mergeCell ref="D14:E14"/>
    <mergeCell ref="F32:G32"/>
    <mergeCell ref="J33:K33"/>
    <mergeCell ref="C4:V4"/>
    <mergeCell ref="D11:E11"/>
    <mergeCell ref="J20:K20"/>
    <mergeCell ref="P11:Q11"/>
    <mergeCell ref="P10:Q10"/>
    <mergeCell ref="F30:V30"/>
    <mergeCell ref="L21:M21"/>
    <mergeCell ref="N34:O34"/>
    <mergeCell ref="J44:K44"/>
    <mergeCell ref="R10:S10"/>
    <mergeCell ref="F6:G6"/>
    <mergeCell ref="H6:I6"/>
    <mergeCell ref="N6:O6"/>
    <mergeCell ref="L6:M6"/>
    <mergeCell ref="D40:T40"/>
    <mergeCell ref="D41:E41"/>
    <mergeCell ref="H45:I45"/>
    <mergeCell ref="J45:K45"/>
    <mergeCell ref="L10:M10"/>
    <mergeCell ref="H7:I7"/>
    <mergeCell ref="L7:M7"/>
    <mergeCell ref="P7:Q7"/>
    <mergeCell ref="J8:K8"/>
    <mergeCell ref="L8:M8"/>
    <mergeCell ref="H14:I14"/>
    <mergeCell ref="L20:M20"/>
    <mergeCell ref="N20:O20"/>
    <mergeCell ref="P20:Q20"/>
    <mergeCell ref="L15:M15"/>
    <mergeCell ref="N15:O15"/>
    <mergeCell ref="D44:E44"/>
    <mergeCell ref="N7:O7"/>
    <mergeCell ref="N75:O75"/>
    <mergeCell ref="H63:I63"/>
    <mergeCell ref="D71:E71"/>
    <mergeCell ref="F71:G71"/>
    <mergeCell ref="D55:E55"/>
    <mergeCell ref="P55:Q55"/>
    <mergeCell ref="F67:G67"/>
    <mergeCell ref="H67:I67"/>
    <mergeCell ref="F64:G64"/>
    <mergeCell ref="F54:G54"/>
    <mergeCell ref="R68:S68"/>
    <mergeCell ref="R70:S70"/>
    <mergeCell ref="F65:G65"/>
    <mergeCell ref="N68:O68"/>
    <mergeCell ref="P82:Q82"/>
    <mergeCell ref="J80:K80"/>
    <mergeCell ref="P80:Q80"/>
    <mergeCell ref="J57:K57"/>
    <mergeCell ref="H55:I55"/>
    <mergeCell ref="L71:M71"/>
    <mergeCell ref="R75:S75"/>
    <mergeCell ref="N55:O55"/>
    <mergeCell ref="P57:Q57"/>
    <mergeCell ref="R57:S57"/>
    <mergeCell ref="D56:E56"/>
    <mergeCell ref="H64:I64"/>
    <mergeCell ref="H56:I56"/>
    <mergeCell ref="J64:K64"/>
    <mergeCell ref="L54:M54"/>
    <mergeCell ref="R55:S55"/>
    <mergeCell ref="N67:O67"/>
    <mergeCell ref="D66:V66"/>
    <mergeCell ref="F375:G375"/>
    <mergeCell ref="H375:I375"/>
    <mergeCell ref="J375:K375"/>
    <mergeCell ref="L375:M375"/>
    <mergeCell ref="N375:O375"/>
    <mergeCell ref="P375:Q375"/>
    <mergeCell ref="J442:K442"/>
    <mergeCell ref="D388:E388"/>
    <mergeCell ref="J402:K402"/>
    <mergeCell ref="D382:E382"/>
    <mergeCell ref="P402:Q402"/>
    <mergeCell ref="F402:G402"/>
    <mergeCell ref="P378:Q378"/>
    <mergeCell ref="N403:O403"/>
    <mergeCell ref="F376:G376"/>
    <mergeCell ref="D377:S377"/>
    <mergeCell ref="D393:V393"/>
    <mergeCell ref="F409:G409"/>
    <mergeCell ref="H409:I409"/>
    <mergeCell ref="J409:K409"/>
    <mergeCell ref="L409:M409"/>
    <mergeCell ref="L438:M438"/>
    <mergeCell ref="P386:Q386"/>
    <mergeCell ref="N402:O402"/>
    <mergeCell ref="N409:O409"/>
    <mergeCell ref="P409:Q409"/>
    <mergeCell ref="R409:S409"/>
    <mergeCell ref="D410:E410"/>
    <mergeCell ref="P403:Q403"/>
    <mergeCell ref="H402:I402"/>
    <mergeCell ref="L382:M382"/>
    <mergeCell ref="L424:M424"/>
    <mergeCell ref="L392:M392"/>
    <mergeCell ref="N392:O392"/>
    <mergeCell ref="D386:E386"/>
    <mergeCell ref="F386:G386"/>
    <mergeCell ref="D435:V435"/>
    <mergeCell ref="T371:V377"/>
    <mergeCell ref="D436:E436"/>
    <mergeCell ref="F371:G371"/>
    <mergeCell ref="R429:S429"/>
    <mergeCell ref="D385:V385"/>
    <mergeCell ref="F427:V427"/>
    <mergeCell ref="H467:I467"/>
    <mergeCell ref="L468:M468"/>
    <mergeCell ref="D468:E468"/>
    <mergeCell ref="P466:Q466"/>
    <mergeCell ref="N460:O460"/>
    <mergeCell ref="D455:T455"/>
    <mergeCell ref="J451:K451"/>
    <mergeCell ref="F451:G451"/>
    <mergeCell ref="J453:K453"/>
    <mergeCell ref="F446:G446"/>
    <mergeCell ref="L452:M452"/>
    <mergeCell ref="H461:I461"/>
    <mergeCell ref="F422:V422"/>
    <mergeCell ref="J374:K374"/>
    <mergeCell ref="J438:K438"/>
    <mergeCell ref="H438:I438"/>
    <mergeCell ref="P458:Q458"/>
    <mergeCell ref="P461:Q461"/>
    <mergeCell ref="D447:E447"/>
    <mergeCell ref="H444:I444"/>
    <mergeCell ref="H437:I437"/>
    <mergeCell ref="D439:V439"/>
    <mergeCell ref="L454:M454"/>
    <mergeCell ref="R468:S468"/>
    <mergeCell ref="J466:K466"/>
    <mergeCell ref="H466:I466"/>
    <mergeCell ref="N467:O467"/>
    <mergeCell ref="P467:Q467"/>
    <mergeCell ref="J459:K459"/>
    <mergeCell ref="F459:G459"/>
    <mergeCell ref="N444:O444"/>
    <mergeCell ref="P444:Q444"/>
    <mergeCell ref="R440:S440"/>
    <mergeCell ref="F441:G441"/>
    <mergeCell ref="H441:I441"/>
    <mergeCell ref="J441:K441"/>
    <mergeCell ref="L441:M441"/>
    <mergeCell ref="N441:O441"/>
    <mergeCell ref="D445:V445"/>
    <mergeCell ref="J444:K444"/>
    <mergeCell ref="L444:M444"/>
    <mergeCell ref="P441:Q441"/>
    <mergeCell ref="D449:E449"/>
    <mergeCell ref="D446:E446"/>
    <mergeCell ref="D442:E442"/>
    <mergeCell ref="F442:G442"/>
    <mergeCell ref="H442:I442"/>
    <mergeCell ref="L461:M461"/>
    <mergeCell ref="D440:E440"/>
    <mergeCell ref="D460:E460"/>
    <mergeCell ref="L451:M451"/>
    <mergeCell ref="D463:E463"/>
    <mergeCell ref="J460:K460"/>
    <mergeCell ref="R510:S510"/>
    <mergeCell ref="P474:Q474"/>
    <mergeCell ref="J474:K474"/>
    <mergeCell ref="H498:I498"/>
    <mergeCell ref="L525:M525"/>
    <mergeCell ref="J524:K524"/>
    <mergeCell ref="L510:M510"/>
    <mergeCell ref="L516:M516"/>
    <mergeCell ref="J504:K504"/>
    <mergeCell ref="L487:M487"/>
    <mergeCell ref="R498:S498"/>
    <mergeCell ref="D493:E493"/>
    <mergeCell ref="D502:V502"/>
    <mergeCell ref="H500:I500"/>
    <mergeCell ref="N505:O505"/>
    <mergeCell ref="P486:Q486"/>
    <mergeCell ref="N447:O447"/>
    <mergeCell ref="R454:S454"/>
    <mergeCell ref="F467:G467"/>
    <mergeCell ref="P452:Q452"/>
    <mergeCell ref="N469:O469"/>
    <mergeCell ref="D476:E476"/>
    <mergeCell ref="R523:S523"/>
    <mergeCell ref="N510:O510"/>
    <mergeCell ref="D509:V509"/>
    <mergeCell ref="R518:S518"/>
    <mergeCell ref="L505:M505"/>
    <mergeCell ref="H523:I523"/>
    <mergeCell ref="P498:Q498"/>
    <mergeCell ref="N498:O498"/>
    <mergeCell ref="N515:O515"/>
    <mergeCell ref="N516:O516"/>
    <mergeCell ref="N470:O470"/>
    <mergeCell ref="N508:O508"/>
    <mergeCell ref="F504:G504"/>
    <mergeCell ref="P551:Q551"/>
    <mergeCell ref="F493:G493"/>
    <mergeCell ref="J495:K495"/>
    <mergeCell ref="J487:K487"/>
    <mergeCell ref="L497:M497"/>
    <mergeCell ref="L496:M496"/>
    <mergeCell ref="R474:S474"/>
    <mergeCell ref="H486:I486"/>
    <mergeCell ref="D496:E496"/>
    <mergeCell ref="F497:G497"/>
    <mergeCell ref="F478:G478"/>
    <mergeCell ref="H482:I482"/>
    <mergeCell ref="L517:M517"/>
    <mergeCell ref="D549:E549"/>
    <mergeCell ref="P545:Q545"/>
    <mergeCell ref="D547:E547"/>
    <mergeCell ref="R543:S543"/>
    <mergeCell ref="P533:Q533"/>
    <mergeCell ref="F533:G533"/>
    <mergeCell ref="F537:G537"/>
    <mergeCell ref="H544:I544"/>
    <mergeCell ref="L543:M543"/>
    <mergeCell ref="D537:E537"/>
    <mergeCell ref="F495:G495"/>
    <mergeCell ref="L492:M492"/>
    <mergeCell ref="F508:G508"/>
    <mergeCell ref="H508:I508"/>
    <mergeCell ref="P470:Q470"/>
    <mergeCell ref="F472:V472"/>
    <mergeCell ref="L546:M546"/>
    <mergeCell ref="J503:K503"/>
    <mergeCell ref="P532:Q532"/>
    <mergeCell ref="J544:K544"/>
    <mergeCell ref="D539:E539"/>
    <mergeCell ref="D532:E532"/>
    <mergeCell ref="P504:Q504"/>
    <mergeCell ref="P503:Q503"/>
    <mergeCell ref="D524:E524"/>
    <mergeCell ref="P531:Q531"/>
    <mergeCell ref="D503:E503"/>
    <mergeCell ref="H546:I546"/>
    <mergeCell ref="N549:O549"/>
    <mergeCell ref="J530:K530"/>
    <mergeCell ref="N546:O546"/>
    <mergeCell ref="L544:M544"/>
    <mergeCell ref="F474:G474"/>
    <mergeCell ref="D480:E480"/>
    <mergeCell ref="N543:O543"/>
    <mergeCell ref="F521:V521"/>
    <mergeCell ref="P524:Q524"/>
    <mergeCell ref="N537:O537"/>
    <mergeCell ref="P543:Q543"/>
    <mergeCell ref="H543:I543"/>
    <mergeCell ref="D507:E507"/>
    <mergeCell ref="R493:S493"/>
    <mergeCell ref="F496:G496"/>
    <mergeCell ref="H496:I496"/>
    <mergeCell ref="R479:S479"/>
    <mergeCell ref="H480:I480"/>
    <mergeCell ref="R507:S507"/>
    <mergeCell ref="N518:O518"/>
    <mergeCell ref="L551:M551"/>
    <mergeCell ref="J552:K552"/>
    <mergeCell ref="D552:E552"/>
    <mergeCell ref="F546:G546"/>
    <mergeCell ref="L508:M508"/>
    <mergeCell ref="D538:E538"/>
    <mergeCell ref="D525:E525"/>
    <mergeCell ref="L545:M545"/>
    <mergeCell ref="R544:S544"/>
    <mergeCell ref="F544:G544"/>
    <mergeCell ref="P537:Q537"/>
    <mergeCell ref="F545:G545"/>
    <mergeCell ref="D540:T540"/>
    <mergeCell ref="F543:G543"/>
    <mergeCell ref="L531:M531"/>
    <mergeCell ref="H548:I548"/>
    <mergeCell ref="J548:K548"/>
    <mergeCell ref="H538:I538"/>
    <mergeCell ref="L552:M552"/>
    <mergeCell ref="F549:G549"/>
    <mergeCell ref="F550:G550"/>
    <mergeCell ref="D541:E541"/>
    <mergeCell ref="H545:I545"/>
    <mergeCell ref="D531:E531"/>
    <mergeCell ref="R531:S531"/>
    <mergeCell ref="D521:E521"/>
    <mergeCell ref="H530:I530"/>
    <mergeCell ref="R524:S524"/>
    <mergeCell ref="F551:G551"/>
    <mergeCell ref="J523:K523"/>
    <mergeCell ref="F524:G524"/>
    <mergeCell ref="D534:T534"/>
    <mergeCell ref="N552:O552"/>
    <mergeCell ref="R562:S562"/>
    <mergeCell ref="J561:K561"/>
    <mergeCell ref="D561:E561"/>
    <mergeCell ref="F552:G552"/>
    <mergeCell ref="H595:I595"/>
    <mergeCell ref="D578:E578"/>
    <mergeCell ref="N580:O580"/>
    <mergeCell ref="H581:I581"/>
    <mergeCell ref="F581:G581"/>
    <mergeCell ref="L581:M581"/>
    <mergeCell ref="D586:E586"/>
    <mergeCell ref="N587:O587"/>
    <mergeCell ref="J578:K578"/>
    <mergeCell ref="D581:E581"/>
    <mergeCell ref="N581:O581"/>
    <mergeCell ref="J590:K590"/>
    <mergeCell ref="L595:M595"/>
    <mergeCell ref="H561:I561"/>
    <mergeCell ref="R574:S574"/>
    <mergeCell ref="D570:E570"/>
    <mergeCell ref="J569:K569"/>
    <mergeCell ref="L568:M568"/>
    <mergeCell ref="H569:I569"/>
    <mergeCell ref="P571:Q571"/>
    <mergeCell ref="H571:I571"/>
    <mergeCell ref="D562:E562"/>
    <mergeCell ref="P569:Q569"/>
    <mergeCell ref="P560:Q560"/>
    <mergeCell ref="H563:I563"/>
    <mergeCell ref="P559:Q559"/>
    <mergeCell ref="F558:G558"/>
    <mergeCell ref="F576:V576"/>
    <mergeCell ref="P573:Q573"/>
    <mergeCell ref="F570:G570"/>
    <mergeCell ref="J570:K570"/>
    <mergeCell ref="N570:O570"/>
    <mergeCell ref="H570:I570"/>
    <mergeCell ref="F565:V565"/>
    <mergeCell ref="R563:S563"/>
    <mergeCell ref="N569:O569"/>
    <mergeCell ref="R570:S570"/>
    <mergeCell ref="R569:S569"/>
    <mergeCell ref="F563:G563"/>
    <mergeCell ref="L570:M570"/>
    <mergeCell ref="H580:I580"/>
    <mergeCell ref="R581:S581"/>
    <mergeCell ref="P581:Q581"/>
    <mergeCell ref="P578:Q578"/>
    <mergeCell ref="H578:I578"/>
    <mergeCell ref="L573:M573"/>
    <mergeCell ref="L574:M574"/>
    <mergeCell ref="R558:S558"/>
    <mergeCell ref="N560:O560"/>
    <mergeCell ref="N568:O568"/>
    <mergeCell ref="J572:K572"/>
    <mergeCell ref="F568:G568"/>
    <mergeCell ref="P568:Q568"/>
    <mergeCell ref="H568:I568"/>
    <mergeCell ref="L569:M569"/>
    <mergeCell ref="L567:M567"/>
    <mergeCell ref="R571:S571"/>
    <mergeCell ref="P567:Q567"/>
    <mergeCell ref="N567:O567"/>
    <mergeCell ref="J567:K567"/>
    <mergeCell ref="R567:S567"/>
    <mergeCell ref="R572:S572"/>
    <mergeCell ref="N563:O563"/>
    <mergeCell ref="L572:M572"/>
    <mergeCell ref="R559:S559"/>
    <mergeCell ref="J563:K563"/>
    <mergeCell ref="D564:T564"/>
    <mergeCell ref="P570:Q570"/>
    <mergeCell ref="F567:G567"/>
    <mergeCell ref="F562:G562"/>
    <mergeCell ref="D559:E559"/>
    <mergeCell ref="J558:K558"/>
    <mergeCell ref="N559:O559"/>
    <mergeCell ref="F561:G561"/>
    <mergeCell ref="F574:G574"/>
    <mergeCell ref="J574:K574"/>
    <mergeCell ref="D575:T575"/>
    <mergeCell ref="N578:O578"/>
    <mergeCell ref="H579:I579"/>
    <mergeCell ref="D571:E571"/>
    <mergeCell ref="D569:E569"/>
    <mergeCell ref="R578:S578"/>
    <mergeCell ref="J579:K579"/>
    <mergeCell ref="J598:K598"/>
    <mergeCell ref="F598:G598"/>
    <mergeCell ref="H598:I598"/>
    <mergeCell ref="P590:Q590"/>
    <mergeCell ref="L597:M597"/>
    <mergeCell ref="J588:K588"/>
    <mergeCell ref="P563:Q563"/>
    <mergeCell ref="L561:M561"/>
    <mergeCell ref="H590:I590"/>
    <mergeCell ref="J587:K587"/>
    <mergeCell ref="L587:M587"/>
    <mergeCell ref="P580:Q580"/>
    <mergeCell ref="J589:K589"/>
    <mergeCell ref="F588:G588"/>
    <mergeCell ref="N595:O595"/>
    <mergeCell ref="H597:I597"/>
    <mergeCell ref="N588:O588"/>
    <mergeCell ref="D572:E572"/>
    <mergeCell ref="J581:K581"/>
    <mergeCell ref="R580:S580"/>
    <mergeCell ref="D580:E580"/>
    <mergeCell ref="F579:G579"/>
    <mergeCell ref="N623:O623"/>
    <mergeCell ref="P616:Q616"/>
    <mergeCell ref="P589:Q589"/>
    <mergeCell ref="J601:K601"/>
    <mergeCell ref="D598:E598"/>
    <mergeCell ref="D601:E601"/>
    <mergeCell ref="D611:E611"/>
    <mergeCell ref="N607:O607"/>
    <mergeCell ref="J621:K621"/>
    <mergeCell ref="L621:M621"/>
    <mergeCell ref="J609:K609"/>
    <mergeCell ref="P599:Q599"/>
    <mergeCell ref="P608:Q608"/>
    <mergeCell ref="N598:O598"/>
    <mergeCell ref="N591:O591"/>
    <mergeCell ref="J591:K591"/>
    <mergeCell ref="H623:I623"/>
    <mergeCell ref="P597:Q597"/>
    <mergeCell ref="N589:O589"/>
    <mergeCell ref="D589:E589"/>
    <mergeCell ref="D609:E609"/>
    <mergeCell ref="H600:I600"/>
    <mergeCell ref="J600:K600"/>
    <mergeCell ref="D590:E590"/>
    <mergeCell ref="F616:G616"/>
    <mergeCell ref="L596:M596"/>
    <mergeCell ref="F599:G599"/>
    <mergeCell ref="N599:O599"/>
    <mergeCell ref="H596:I596"/>
    <mergeCell ref="J596:K596"/>
    <mergeCell ref="F596:G596"/>
    <mergeCell ref="J611:K611"/>
    <mergeCell ref="C628:V628"/>
    <mergeCell ref="N611:O611"/>
    <mergeCell ref="L610:M610"/>
    <mergeCell ref="R619:S619"/>
    <mergeCell ref="D613:E613"/>
    <mergeCell ref="D627:E627"/>
    <mergeCell ref="D608:E608"/>
    <mergeCell ref="H608:I608"/>
    <mergeCell ref="R608:S608"/>
    <mergeCell ref="P600:Q600"/>
    <mergeCell ref="L619:M619"/>
    <mergeCell ref="P601:Q601"/>
    <mergeCell ref="H599:I599"/>
    <mergeCell ref="D599:E599"/>
    <mergeCell ref="L602:M602"/>
    <mergeCell ref="J599:K599"/>
    <mergeCell ref="F603:G603"/>
    <mergeCell ref="P625:Q625"/>
    <mergeCell ref="D626:T626"/>
    <mergeCell ref="F613:V613"/>
    <mergeCell ref="P620:Q620"/>
    <mergeCell ref="F625:G625"/>
    <mergeCell ref="L625:M625"/>
    <mergeCell ref="P623:Q623"/>
    <mergeCell ref="D621:E621"/>
    <mergeCell ref="F621:G621"/>
    <mergeCell ref="H621:I621"/>
    <mergeCell ref="R617:S617"/>
    <mergeCell ref="H616:I616"/>
    <mergeCell ref="R616:S616"/>
    <mergeCell ref="J623:K623"/>
    <mergeCell ref="L623:M623"/>
    <mergeCell ref="N573:O573"/>
    <mergeCell ref="H574:I574"/>
    <mergeCell ref="D555:T555"/>
    <mergeCell ref="L559:M559"/>
    <mergeCell ref="F578:G578"/>
    <mergeCell ref="F556:V556"/>
    <mergeCell ref="L588:M588"/>
    <mergeCell ref="F589:G589"/>
    <mergeCell ref="L590:M590"/>
    <mergeCell ref="R469:S469"/>
    <mergeCell ref="R492:S492"/>
    <mergeCell ref="H470:I470"/>
    <mergeCell ref="D600:E600"/>
    <mergeCell ref="P495:Q495"/>
    <mergeCell ref="P496:Q496"/>
    <mergeCell ref="N459:O459"/>
    <mergeCell ref="P459:Q459"/>
    <mergeCell ref="D495:E495"/>
    <mergeCell ref="P572:Q572"/>
    <mergeCell ref="R595:S595"/>
    <mergeCell ref="J580:K580"/>
    <mergeCell ref="D568:E568"/>
    <mergeCell ref="H573:I573"/>
    <mergeCell ref="D553:E553"/>
    <mergeCell ref="D560:E560"/>
    <mergeCell ref="H562:I562"/>
    <mergeCell ref="J560:K560"/>
    <mergeCell ref="L580:M580"/>
    <mergeCell ref="F587:G587"/>
    <mergeCell ref="L558:M558"/>
    <mergeCell ref="N558:O558"/>
    <mergeCell ref="L560:M560"/>
    <mergeCell ref="F580:G580"/>
    <mergeCell ref="F593:V593"/>
    <mergeCell ref="R600:S600"/>
    <mergeCell ref="R588:S588"/>
    <mergeCell ref="F595:G595"/>
    <mergeCell ref="F602:G602"/>
    <mergeCell ref="N602:O602"/>
    <mergeCell ref="P595:Q595"/>
    <mergeCell ref="R590:S590"/>
    <mergeCell ref="P579:Q579"/>
    <mergeCell ref="F609:G609"/>
    <mergeCell ref="F591:G591"/>
    <mergeCell ref="L591:M591"/>
    <mergeCell ref="H609:I609"/>
    <mergeCell ref="R598:S598"/>
    <mergeCell ref="R601:S601"/>
    <mergeCell ref="R603:S603"/>
    <mergeCell ref="R599:S599"/>
    <mergeCell ref="H602:I602"/>
    <mergeCell ref="R589:S589"/>
    <mergeCell ref="F135:G135"/>
    <mergeCell ref="F167:G167"/>
    <mergeCell ref="F179:G179"/>
    <mergeCell ref="H178:I178"/>
    <mergeCell ref="H135:I135"/>
    <mergeCell ref="P135:Q135"/>
    <mergeCell ref="P193:Q193"/>
    <mergeCell ref="N163:O163"/>
    <mergeCell ref="R170:S170"/>
    <mergeCell ref="L175:M175"/>
    <mergeCell ref="H199:I199"/>
    <mergeCell ref="H309:I309"/>
    <mergeCell ref="P200:Q200"/>
    <mergeCell ref="L446:M446"/>
    <mergeCell ref="F443:G443"/>
    <mergeCell ref="H443:I443"/>
    <mergeCell ref="J443:K443"/>
    <mergeCell ref="F157:V157"/>
    <mergeCell ref="P153:Q153"/>
    <mergeCell ref="L151:M151"/>
    <mergeCell ref="N151:O151"/>
    <mergeCell ref="R151:S151"/>
    <mergeCell ref="P443:Q443"/>
    <mergeCell ref="N153:O153"/>
    <mergeCell ref="D162:V162"/>
    <mergeCell ref="N155:O155"/>
    <mergeCell ref="P155:Q155"/>
    <mergeCell ref="R154:S154"/>
    <mergeCell ref="F155:G155"/>
    <mergeCell ref="J175:K175"/>
    <mergeCell ref="P170:Q170"/>
    <mergeCell ref="F148:V148"/>
    <mergeCell ref="D438:E438"/>
    <mergeCell ref="F438:G438"/>
    <mergeCell ref="P469:Q469"/>
    <mergeCell ref="L447:M447"/>
    <mergeCell ref="N440:O440"/>
    <mergeCell ref="D466:E466"/>
    <mergeCell ref="D168:E168"/>
    <mergeCell ref="R168:S168"/>
    <mergeCell ref="D167:E167"/>
    <mergeCell ref="L161:M161"/>
    <mergeCell ref="J155:K155"/>
    <mergeCell ref="R153:S153"/>
    <mergeCell ref="H152:I152"/>
    <mergeCell ref="P151:Q151"/>
    <mergeCell ref="J154:K154"/>
    <mergeCell ref="R167:S167"/>
    <mergeCell ref="P163:Q163"/>
    <mergeCell ref="J161:K161"/>
    <mergeCell ref="P165:Q165"/>
    <mergeCell ref="J165:K165"/>
    <mergeCell ref="R175:S175"/>
    <mergeCell ref="L168:M168"/>
    <mergeCell ref="J168:K168"/>
    <mergeCell ref="D156:T156"/>
    <mergeCell ref="R155:S155"/>
    <mergeCell ref="D157:E157"/>
    <mergeCell ref="F168:G168"/>
    <mergeCell ref="J152:K152"/>
    <mergeCell ref="J153:K153"/>
    <mergeCell ref="L153:M153"/>
    <mergeCell ref="P468:Q468"/>
    <mergeCell ref="J440:K440"/>
    <mergeCell ref="D153:E153"/>
    <mergeCell ref="D154:E154"/>
    <mergeCell ref="J151:K151"/>
    <mergeCell ref="D163:E163"/>
    <mergeCell ref="H165:I165"/>
    <mergeCell ref="D451:E451"/>
    <mergeCell ref="F463:V463"/>
    <mergeCell ref="J452:K452"/>
    <mergeCell ref="D437:E437"/>
    <mergeCell ref="D452:E452"/>
    <mergeCell ref="L460:M460"/>
    <mergeCell ref="N373:O373"/>
    <mergeCell ref="P373:Q373"/>
    <mergeCell ref="N321:O321"/>
    <mergeCell ref="D316:E316"/>
    <mergeCell ref="H331:I331"/>
    <mergeCell ref="F321:G321"/>
    <mergeCell ref="L459:M459"/>
    <mergeCell ref="D459:E459"/>
    <mergeCell ref="T337:V346"/>
    <mergeCell ref="D323:V323"/>
    <mergeCell ref="J316:K316"/>
    <mergeCell ref="N316:O316"/>
    <mergeCell ref="D326:V326"/>
    <mergeCell ref="D231:E231"/>
    <mergeCell ref="J235:K235"/>
    <mergeCell ref="J219:K219"/>
    <mergeCell ref="D263:V263"/>
    <mergeCell ref="D291:E291"/>
    <mergeCell ref="R335:S335"/>
    <mergeCell ref="P335:Q335"/>
    <mergeCell ref="D327:E327"/>
    <mergeCell ref="P481:Q481"/>
    <mergeCell ref="F460:G460"/>
    <mergeCell ref="F456:V456"/>
    <mergeCell ref="N466:O466"/>
    <mergeCell ref="R460:S460"/>
    <mergeCell ref="N452:O452"/>
    <mergeCell ref="H440:I440"/>
    <mergeCell ref="N446:O446"/>
    <mergeCell ref="R437:S437"/>
    <mergeCell ref="P446:Q446"/>
    <mergeCell ref="F449:V449"/>
    <mergeCell ref="F452:G452"/>
    <mergeCell ref="H452:I452"/>
    <mergeCell ref="R470:S470"/>
    <mergeCell ref="H454:I454"/>
    <mergeCell ref="J454:K454"/>
    <mergeCell ref="P451:Q451"/>
    <mergeCell ref="L443:M443"/>
    <mergeCell ref="N443:O443"/>
    <mergeCell ref="N461:O461"/>
    <mergeCell ref="N458:O458"/>
    <mergeCell ref="P460:Q460"/>
    <mergeCell ref="N453:O453"/>
    <mergeCell ref="R453:S453"/>
    <mergeCell ref="F476:V476"/>
    <mergeCell ref="R438:S438"/>
    <mergeCell ref="H468:I468"/>
    <mergeCell ref="J447:K447"/>
    <mergeCell ref="H446:I446"/>
    <mergeCell ref="H447:I447"/>
    <mergeCell ref="C464:V464"/>
    <mergeCell ref="P453:Q453"/>
    <mergeCell ref="R480:S480"/>
    <mergeCell ref="R459:S459"/>
    <mergeCell ref="L327:M327"/>
    <mergeCell ref="L337:M337"/>
    <mergeCell ref="H330:I330"/>
    <mergeCell ref="D259:E259"/>
    <mergeCell ref="R135:S135"/>
    <mergeCell ref="J145:K145"/>
    <mergeCell ref="F237:G237"/>
    <mergeCell ref="D242:E242"/>
    <mergeCell ref="D257:E257"/>
    <mergeCell ref="L144:M144"/>
    <mergeCell ref="D159:V159"/>
    <mergeCell ref="D353:E353"/>
    <mergeCell ref="N199:O199"/>
    <mergeCell ref="D171:T171"/>
    <mergeCell ref="N217:O217"/>
    <mergeCell ref="R330:S330"/>
    <mergeCell ref="H327:I327"/>
    <mergeCell ref="R327:S327"/>
    <mergeCell ref="F199:G199"/>
    <mergeCell ref="J200:K200"/>
    <mergeCell ref="D190:T190"/>
    <mergeCell ref="L204:M204"/>
    <mergeCell ref="P207:Q207"/>
    <mergeCell ref="R185:S185"/>
    <mergeCell ref="D325:V325"/>
    <mergeCell ref="R324:S324"/>
    <mergeCell ref="N329:O329"/>
    <mergeCell ref="J335:K335"/>
    <mergeCell ref="N333:O333"/>
    <mergeCell ref="J356:K356"/>
    <mergeCell ref="D202:E202"/>
    <mergeCell ref="D218:E218"/>
    <mergeCell ref="F218:G218"/>
    <mergeCell ref="H218:I218"/>
    <mergeCell ref="D185:E185"/>
    <mergeCell ref="L300:M300"/>
    <mergeCell ref="N282:O282"/>
    <mergeCell ref="T329:V333"/>
    <mergeCell ref="F345:G345"/>
    <mergeCell ref="F344:G344"/>
    <mergeCell ref="R345:S345"/>
    <mergeCell ref="P332:Q332"/>
    <mergeCell ref="F331:G331"/>
    <mergeCell ref="P330:Q330"/>
    <mergeCell ref="F333:G333"/>
    <mergeCell ref="F335:G335"/>
    <mergeCell ref="L333:M333"/>
    <mergeCell ref="D331:E331"/>
    <mergeCell ref="L335:M335"/>
    <mergeCell ref="D336:V336"/>
    <mergeCell ref="L218:M218"/>
    <mergeCell ref="D201:E201"/>
    <mergeCell ref="N297:O297"/>
    <mergeCell ref="D337:E337"/>
    <mergeCell ref="D343:E343"/>
    <mergeCell ref="F343:G343"/>
    <mergeCell ref="H343:I343"/>
    <mergeCell ref="N322:O322"/>
    <mergeCell ref="H322:I322"/>
    <mergeCell ref="P329:Q329"/>
    <mergeCell ref="N216:O216"/>
    <mergeCell ref="D237:E237"/>
    <mergeCell ref="L342:M342"/>
    <mergeCell ref="R343:S343"/>
    <mergeCell ref="P316:Q316"/>
    <mergeCell ref="J332:K332"/>
    <mergeCell ref="N341:O341"/>
    <mergeCell ref="L316:M316"/>
    <mergeCell ref="R355:S355"/>
    <mergeCell ref="R357:S357"/>
    <mergeCell ref="R362:S362"/>
    <mergeCell ref="F354:G354"/>
    <mergeCell ref="P356:Q356"/>
    <mergeCell ref="N355:O355"/>
    <mergeCell ref="H354:I354"/>
    <mergeCell ref="H362:I362"/>
    <mergeCell ref="J362:K362"/>
    <mergeCell ref="L362:M362"/>
    <mergeCell ref="J352:K352"/>
    <mergeCell ref="J355:K355"/>
    <mergeCell ref="L353:M353"/>
    <mergeCell ref="J343:K343"/>
    <mergeCell ref="L343:M343"/>
    <mergeCell ref="H338:I338"/>
    <mergeCell ref="F327:G327"/>
    <mergeCell ref="N330:O330"/>
    <mergeCell ref="J354:K354"/>
    <mergeCell ref="F330:G330"/>
    <mergeCell ref="F329:G329"/>
    <mergeCell ref="D320:V320"/>
    <mergeCell ref="R331:S331"/>
    <mergeCell ref="L339:M339"/>
    <mergeCell ref="J321:K321"/>
    <mergeCell ref="P327:Q327"/>
    <mergeCell ref="F360:G360"/>
    <mergeCell ref="D352:E352"/>
    <mergeCell ref="R351:S351"/>
    <mergeCell ref="F357:G357"/>
    <mergeCell ref="F355:G355"/>
    <mergeCell ref="D357:E357"/>
    <mergeCell ref="F362:G362"/>
    <mergeCell ref="D355:E355"/>
    <mergeCell ref="D359:V359"/>
    <mergeCell ref="N362:O362"/>
    <mergeCell ref="L360:M360"/>
    <mergeCell ref="N360:O360"/>
    <mergeCell ref="R360:S360"/>
    <mergeCell ref="D363:E363"/>
    <mergeCell ref="N363:O363"/>
    <mergeCell ref="H364:I364"/>
    <mergeCell ref="H352:I352"/>
    <mergeCell ref="N353:O353"/>
    <mergeCell ref="N354:O354"/>
    <mergeCell ref="F353:G353"/>
    <mergeCell ref="D351:E351"/>
    <mergeCell ref="P354:Q354"/>
    <mergeCell ref="R353:S353"/>
    <mergeCell ref="L354:M354"/>
    <mergeCell ref="T362:V368"/>
    <mergeCell ref="D354:E354"/>
    <mergeCell ref="J341:K341"/>
    <mergeCell ref="P341:Q341"/>
    <mergeCell ref="D349:E349"/>
    <mergeCell ref="R347:S347"/>
    <mergeCell ref="N349:O349"/>
    <mergeCell ref="L357:M357"/>
    <mergeCell ref="N357:O357"/>
    <mergeCell ref="P360:Q360"/>
    <mergeCell ref="J349:K349"/>
    <mergeCell ref="F349:G349"/>
    <mergeCell ref="L349:M349"/>
    <mergeCell ref="F350:G350"/>
    <mergeCell ref="R350:S350"/>
    <mergeCell ref="N343:O343"/>
    <mergeCell ref="F347:G347"/>
    <mergeCell ref="H344:I344"/>
    <mergeCell ref="J344:K344"/>
    <mergeCell ref="L344:M344"/>
    <mergeCell ref="N344:O344"/>
    <mergeCell ref="P345:Q345"/>
    <mergeCell ref="L352:M352"/>
    <mergeCell ref="R352:S352"/>
    <mergeCell ref="R341:S341"/>
    <mergeCell ref="N342:O342"/>
    <mergeCell ref="R342:S342"/>
    <mergeCell ref="J345:K345"/>
    <mergeCell ref="N347:O347"/>
    <mergeCell ref="R365:S365"/>
    <mergeCell ref="H355:I355"/>
    <mergeCell ref="L351:M351"/>
    <mergeCell ref="D635:E635"/>
    <mergeCell ref="F635:G635"/>
    <mergeCell ref="H635:I635"/>
    <mergeCell ref="J635:K635"/>
    <mergeCell ref="L635:M635"/>
    <mergeCell ref="N635:O635"/>
    <mergeCell ref="P635:Q635"/>
    <mergeCell ref="R635:S635"/>
    <mergeCell ref="D372:E372"/>
    <mergeCell ref="P372:Q372"/>
    <mergeCell ref="H381:I381"/>
    <mergeCell ref="D374:E374"/>
    <mergeCell ref="N374:O374"/>
    <mergeCell ref="H382:I382"/>
    <mergeCell ref="J380:K380"/>
    <mergeCell ref="L458:M458"/>
    <mergeCell ref="D362:E362"/>
    <mergeCell ref="R371:S371"/>
    <mergeCell ref="L431:M431"/>
    <mergeCell ref="R424:S424"/>
    <mergeCell ref="N425:O425"/>
    <mergeCell ref="R394:S394"/>
    <mergeCell ref="D421:T421"/>
    <mergeCell ref="R381:S381"/>
    <mergeCell ref="F372:G372"/>
    <mergeCell ref="D472:E472"/>
    <mergeCell ref="D456:E456"/>
    <mergeCell ref="N436:O436"/>
    <mergeCell ref="H366:I366"/>
    <mergeCell ref="R444:S444"/>
    <mergeCell ref="D631:E631"/>
    <mergeCell ref="F631:G631"/>
    <mergeCell ref="H631:I631"/>
    <mergeCell ref="J631:K631"/>
    <mergeCell ref="L631:M631"/>
    <mergeCell ref="N631:O631"/>
    <mergeCell ref="P631:Q631"/>
    <mergeCell ref="R631:S631"/>
    <mergeCell ref="D508:E508"/>
    <mergeCell ref="P508:Q508"/>
    <mergeCell ref="R508:S508"/>
    <mergeCell ref="P438:Q438"/>
    <mergeCell ref="F466:G466"/>
    <mergeCell ref="N468:O468"/>
    <mergeCell ref="J468:K468"/>
    <mergeCell ref="J467:K467"/>
    <mergeCell ref="F440:G440"/>
    <mergeCell ref="L442:M442"/>
    <mergeCell ref="N442:O442"/>
    <mergeCell ref="P442:Q442"/>
    <mergeCell ref="R442:S442"/>
    <mergeCell ref="P588:Q588"/>
    <mergeCell ref="N597:O597"/>
    <mergeCell ref="D441:E441"/>
    <mergeCell ref="D444:E444"/>
    <mergeCell ref="F444:G444"/>
    <mergeCell ref="R441:S441"/>
    <mergeCell ref="N479:O479"/>
    <mergeCell ref="L599:M599"/>
    <mergeCell ref="J607:K607"/>
    <mergeCell ref="L609:M609"/>
    <mergeCell ref="J617:K617"/>
    <mergeCell ref="L617:M617"/>
    <mergeCell ref="H610:I610"/>
    <mergeCell ref="R425:S425"/>
    <mergeCell ref="D381:E381"/>
    <mergeCell ref="F381:G381"/>
    <mergeCell ref="R369:S369"/>
    <mergeCell ref="L425:M425"/>
    <mergeCell ref="J404:K404"/>
    <mergeCell ref="D405:T405"/>
    <mergeCell ref="L380:M380"/>
    <mergeCell ref="F366:G366"/>
    <mergeCell ref="D368:S368"/>
    <mergeCell ref="R367:S367"/>
    <mergeCell ref="L369:M369"/>
    <mergeCell ref="F367:G367"/>
    <mergeCell ref="P371:Q371"/>
    <mergeCell ref="D369:E369"/>
    <mergeCell ref="F380:G380"/>
    <mergeCell ref="N381:O381"/>
    <mergeCell ref="P381:Q381"/>
    <mergeCell ref="N378:O378"/>
    <mergeCell ref="H372:I372"/>
    <mergeCell ref="J382:K382"/>
    <mergeCell ref="F373:G373"/>
    <mergeCell ref="D373:E373"/>
    <mergeCell ref="R373:S373"/>
    <mergeCell ref="R372:S372"/>
    <mergeCell ref="L404:M404"/>
    <mergeCell ref="N382:O382"/>
    <mergeCell ref="H404:I404"/>
    <mergeCell ref="J372:K372"/>
    <mergeCell ref="F394:G394"/>
    <mergeCell ref="J367:K367"/>
    <mergeCell ref="D366:E366"/>
    <mergeCell ref="J366:K366"/>
    <mergeCell ref="F369:G369"/>
    <mergeCell ref="L366:M366"/>
    <mergeCell ref="P367:Q367"/>
    <mergeCell ref="N366:O366"/>
    <mergeCell ref="P366:Q366"/>
    <mergeCell ref="J369:K369"/>
    <mergeCell ref="L371:M371"/>
    <mergeCell ref="N371:O371"/>
    <mergeCell ref="J365:K365"/>
    <mergeCell ref="D365:E365"/>
    <mergeCell ref="F365:G365"/>
    <mergeCell ref="H365:I365"/>
    <mergeCell ref="D364:E364"/>
    <mergeCell ref="J363:K363"/>
    <mergeCell ref="F364:G364"/>
    <mergeCell ref="F363:G363"/>
    <mergeCell ref="H363:I363"/>
    <mergeCell ref="J364:K364"/>
    <mergeCell ref="H369:I369"/>
    <mergeCell ref="R374:S374"/>
    <mergeCell ref="D375:E375"/>
    <mergeCell ref="J386:K386"/>
    <mergeCell ref="R375:S375"/>
    <mergeCell ref="H376:I376"/>
    <mergeCell ref="J376:K376"/>
    <mergeCell ref="L376:M376"/>
    <mergeCell ref="N372:O372"/>
    <mergeCell ref="J431:K431"/>
    <mergeCell ref="F356:G356"/>
    <mergeCell ref="D356:E356"/>
    <mergeCell ref="P353:Q353"/>
    <mergeCell ref="N356:O356"/>
    <mergeCell ref="R356:S356"/>
    <mergeCell ref="P357:Q357"/>
    <mergeCell ref="L356:M356"/>
    <mergeCell ref="H353:I353"/>
    <mergeCell ref="P355:Q355"/>
    <mergeCell ref="H356:I356"/>
    <mergeCell ref="P362:Q362"/>
    <mergeCell ref="D367:E367"/>
    <mergeCell ref="R366:S366"/>
    <mergeCell ref="L367:M367"/>
    <mergeCell ref="N367:O367"/>
    <mergeCell ref="P364:Q364"/>
    <mergeCell ref="R364:S364"/>
    <mergeCell ref="R363:S363"/>
    <mergeCell ref="P363:Q363"/>
    <mergeCell ref="L363:M363"/>
    <mergeCell ref="D371:E371"/>
    <mergeCell ref="P365:Q365"/>
    <mergeCell ref="H367:I367"/>
    <mergeCell ref="R349:S349"/>
    <mergeCell ref="J315:K315"/>
    <mergeCell ref="J216:K216"/>
    <mergeCell ref="L216:M216"/>
    <mergeCell ref="R216:S216"/>
    <mergeCell ref="D217:E217"/>
    <mergeCell ref="F217:G217"/>
    <mergeCell ref="H217:I217"/>
    <mergeCell ref="J217:K217"/>
    <mergeCell ref="P342:Q342"/>
    <mergeCell ref="L350:M350"/>
    <mergeCell ref="J350:K350"/>
    <mergeCell ref="H349:I349"/>
    <mergeCell ref="J342:K342"/>
    <mergeCell ref="R344:S344"/>
    <mergeCell ref="D346:S346"/>
    <mergeCell ref="D348:V348"/>
    <mergeCell ref="J347:K347"/>
    <mergeCell ref="T349:V358"/>
    <mergeCell ref="N339:O339"/>
    <mergeCell ref="P344:Q344"/>
    <mergeCell ref="F342:G342"/>
    <mergeCell ref="D345:E345"/>
    <mergeCell ref="H342:I342"/>
    <mergeCell ref="H345:I345"/>
    <mergeCell ref="P350:Q350"/>
    <mergeCell ref="R354:S354"/>
    <mergeCell ref="P352:Q352"/>
    <mergeCell ref="H351:I351"/>
    <mergeCell ref="F351:G351"/>
    <mergeCell ref="H347:I347"/>
    <mergeCell ref="N345:O345"/>
  </mergeCells>
  <phoneticPr fontId="0" type="noConversion"/>
  <conditionalFormatting sqref="C323">
    <cfRule type="expression" dxfId="651" priority="249" stopIfTrue="1">
      <formula>COUNTIF($D$322:$S$322,"a")&gt;0</formula>
    </cfRule>
  </conditionalFormatting>
  <conditionalFormatting sqref="C346">
    <cfRule type="expression" dxfId="650" priority="263" stopIfTrue="1">
      <formula>COUNTIF($D$345:$S$345,"a")&gt;0</formula>
    </cfRule>
  </conditionalFormatting>
  <conditionalFormatting sqref="C358">
    <cfRule type="expression" dxfId="649" priority="260" stopIfTrue="1">
      <formula>COUNTIF($D$357:$S$357,"a")&gt;0</formula>
    </cfRule>
  </conditionalFormatting>
  <conditionalFormatting sqref="C368">
    <cfRule type="expression" dxfId="648" priority="258" stopIfTrue="1">
      <formula>COUNTIF($D$367:$S$367,"a")&gt;0</formula>
    </cfRule>
  </conditionalFormatting>
  <conditionalFormatting sqref="C377">
    <cfRule type="expression" dxfId="647" priority="256" stopIfTrue="1">
      <formula>COUNTIF($D$376:$S$376,"a")&gt;0</formula>
    </cfRule>
  </conditionalFormatting>
  <conditionalFormatting sqref="C383">
    <cfRule type="expression" dxfId="646" priority="255" stopIfTrue="1">
      <formula>COUNTIF($D$380:$S$380,"a")&gt;0</formula>
    </cfRule>
  </conditionalFormatting>
  <conditionalFormatting sqref="C384">
    <cfRule type="expression" dxfId="645" priority="254" stopIfTrue="1">
      <formula>COUNTIF($D$382:$S$382,"a")&gt;0</formula>
    </cfRule>
  </conditionalFormatting>
  <conditionalFormatting sqref="D270:D275 F270:F275 H270:H275 J270:J275 L270:L275 N270:N275 P270:P275 R270:R275 D409:S411 D413:S415 D595:S603">
    <cfRule type="cellIs" dxfId="644" priority="450" stopIfTrue="1" operator="equal">
      <formula>"s"</formula>
    </cfRule>
  </conditionalFormatting>
  <conditionalFormatting sqref="D277 F277 H277 J277 L277 N277 P277 R277">
    <cfRule type="cellIs" dxfId="643" priority="187" stopIfTrue="1" operator="equal">
      <formula>"a"</formula>
    </cfRule>
    <cfRule type="cellIs" dxfId="642" priority="188" stopIfTrue="1" operator="equal">
      <formula>"s"</formula>
    </cfRule>
  </conditionalFormatting>
  <conditionalFormatting sqref="D280:D282 F280:F282 H280:H282 J280:J282 L280:L282 N280:N282 P280:P282 R280:R282">
    <cfRule type="cellIs" dxfId="641" priority="430" stopIfTrue="1" operator="equal">
      <formula>"a"</formula>
    </cfRule>
    <cfRule type="cellIs" dxfId="640" priority="431" stopIfTrue="1" operator="equal">
      <formula>"s"</formula>
    </cfRule>
  </conditionalFormatting>
  <conditionalFormatting sqref="D284 F284 H284 J284 L284 N284 P284 R284">
    <cfRule type="cellIs" dxfId="639" priority="426" stopIfTrue="1" operator="equal">
      <formula>"s"</formula>
    </cfRule>
    <cfRule type="cellIs" dxfId="638" priority="425" stopIfTrue="1" operator="equal">
      <formula>"a"</formula>
    </cfRule>
  </conditionalFormatting>
  <conditionalFormatting sqref="D299:D300 F299:F300 H299:H300 J299:J300 L299:L300 N299:N300 P299:P300 R299:R300">
    <cfRule type="cellIs" dxfId="637" priority="471" stopIfTrue="1" operator="equal">
      <formula>"a"</formula>
    </cfRule>
    <cfRule type="cellIs" dxfId="636" priority="472" stopIfTrue="1" operator="equal">
      <formula>"s"</formula>
    </cfRule>
  </conditionalFormatting>
  <conditionalFormatting sqref="D18:E18 D23:E23 D30:E30 D36:E36 D51:E51 D107:E107 D127:E127 D132:E132 D139:E139 D148:E148 D172:E172 D183:E183 D191:E191 D196:E196 D209:E209 D213:E213 D261:E261 D286:E286 D302:E302 D312:E312 D318:E318 D388:E388 D406:E406 D433:E433 D449:E449 D456:E456 D463:E463 D472:E472 D476:E476 D484:E484 D489:E489 D512:E512 D521:E521 D527:E527 D535:E535 D541:E541 D556:E556 D565:E565 D576:E576 D583:E583 D605:E605 D613:E613 D627:E627 D639:E639">
    <cfRule type="expression" dxfId="635" priority="964" stopIfTrue="1">
      <formula>F18=0</formula>
    </cfRule>
  </conditionalFormatting>
  <conditionalFormatting sqref="D41:E41">
    <cfRule type="expression" dxfId="634" priority="512" stopIfTrue="1">
      <formula>F41=0</formula>
    </cfRule>
  </conditionalFormatting>
  <conditionalFormatting sqref="D60:E60">
    <cfRule type="expression" dxfId="633" priority="543" stopIfTrue="1">
      <formula>F60=0</formula>
    </cfRule>
  </conditionalFormatting>
  <conditionalFormatting sqref="D73:E73">
    <cfRule type="expression" dxfId="632" priority="904" stopIfTrue="1">
      <formula>F73=0</formula>
    </cfRule>
  </conditionalFormatting>
  <conditionalFormatting sqref="D77:E77">
    <cfRule type="expression" dxfId="631" priority="893" stopIfTrue="1">
      <formula>F77=0</formula>
    </cfRule>
  </conditionalFormatting>
  <conditionalFormatting sqref="D92:E92">
    <cfRule type="expression" dxfId="630" priority="505" stopIfTrue="1">
      <formula>F92=0</formula>
    </cfRule>
  </conditionalFormatting>
  <conditionalFormatting sqref="D118:E118">
    <cfRule type="expression" dxfId="629" priority="777" stopIfTrue="1">
      <formula>F118=0</formula>
    </cfRule>
  </conditionalFormatting>
  <conditionalFormatting sqref="D157:E157">
    <cfRule type="expression" dxfId="628" priority="243" stopIfTrue="1">
      <formula>F157=0</formula>
    </cfRule>
  </conditionalFormatting>
  <conditionalFormatting sqref="D221:E221">
    <cfRule type="expression" dxfId="627" priority="122" stopIfTrue="1">
      <formula>F221=0</formula>
    </cfRule>
  </conditionalFormatting>
  <conditionalFormatting sqref="D251:E251">
    <cfRule type="expression" dxfId="626" priority="885" stopIfTrue="1">
      <formula>F251=0</formula>
    </cfRule>
  </conditionalFormatting>
  <conditionalFormatting sqref="D400:E400">
    <cfRule type="expression" dxfId="625" priority="200" stopIfTrue="1">
      <formula>F400=0</formula>
    </cfRule>
  </conditionalFormatting>
  <conditionalFormatting sqref="D422:E422">
    <cfRule type="expression" dxfId="624" priority="748" stopIfTrue="1">
      <formula>F422=0</formula>
    </cfRule>
  </conditionalFormatting>
  <conditionalFormatting sqref="D427:E427">
    <cfRule type="expression" dxfId="623" priority="699" stopIfTrue="1">
      <formula>F427=0</formula>
    </cfRule>
  </conditionalFormatting>
  <conditionalFormatting sqref="D593:E593">
    <cfRule type="expression" dxfId="622" priority="861" stopIfTrue="1">
      <formula>F593=0</formula>
    </cfRule>
  </conditionalFormatting>
  <conditionalFormatting sqref="D6:S16 D20:S21 D32:S34 D43:S49 D129:S130 D134:S137 D142:S146 D161:S161 D163:S163 D165:S165 D167:S168 D170:S170 D175:S181 D185:S186 D188:S189 D193:S194 D198:S207 D211:S211 D231:S235 D237:S237 D239:S239 D249:S249 D253:S259 D264 F264 H264 J264 L264 N264 P264 R264 D267:D268 F267:F268 H267:H268 J267:J268 L267:L268 N267:N268 P267:P268 R267:R268 D289 F289 H289 J289 L289 N289 P289 R289 D291 F291 H291 J291 L291 N291 P291 R291 D294:D296 F294:F296 H294:H296 J294:J296 L294:L296 N294:N296 P294:P296 R294:R296 D304:D310 F304:F310 H304:H310 J304:J310 L304:L310 D314:S316 D321:S322 D324:S324 D329:S333 D392:S392 D394:S394 D396:S396 D398:S398 D402:S404 D429:S429 D431:S431 D445 D446:S447 D451:S454 D474:S474 D478:S482 D486:S487 D500:S501 D510:S510 D514:S519 D523:S525 D530:S533 D537:S539 D543:S554 D558:S563 D567:S574 D578:S581 D630:S637">
    <cfRule type="cellIs" dxfId="621" priority="1030" stopIfTrue="1" operator="equal">
      <formula>"s"</formula>
    </cfRule>
    <cfRule type="cellIs" dxfId="620" priority="1029" stopIfTrue="1" operator="equal">
      <formula>"a"</formula>
    </cfRule>
  </conditionalFormatting>
  <conditionalFormatting sqref="D25:S28">
    <cfRule type="cellIs" dxfId="619" priority="551" stopIfTrue="1" operator="equal">
      <formula>"a"</formula>
    </cfRule>
    <cfRule type="cellIs" dxfId="618" priority="552" stopIfTrue="1" operator="equal">
      <formula>"s"</formula>
    </cfRule>
  </conditionalFormatting>
  <conditionalFormatting sqref="D38:S39">
    <cfRule type="cellIs" dxfId="617" priority="516" stopIfTrue="1" operator="equal">
      <formula>"s"</formula>
    </cfRule>
    <cfRule type="cellIs" dxfId="616" priority="515" stopIfTrue="1" operator="equal">
      <formula>"a"</formula>
    </cfRule>
  </conditionalFormatting>
  <conditionalFormatting sqref="D53:S58">
    <cfRule type="cellIs" dxfId="615" priority="228" stopIfTrue="1" operator="equal">
      <formula>"a"</formula>
    </cfRule>
    <cfRule type="cellIs" dxfId="614" priority="229" stopIfTrue="1" operator="equal">
      <formula>"s"</formula>
    </cfRule>
  </conditionalFormatting>
  <conditionalFormatting sqref="D63:S65 D67:S71">
    <cfRule type="cellIs" dxfId="613" priority="908" stopIfTrue="1" operator="equal">
      <formula>"s"</formula>
    </cfRule>
    <cfRule type="cellIs" dxfId="612" priority="907" stopIfTrue="1" operator="equal">
      <formula>"a"</formula>
    </cfRule>
  </conditionalFormatting>
  <conditionalFormatting sqref="D75:S75">
    <cfRule type="cellIs" dxfId="611" priority="897" stopIfTrue="1" operator="equal">
      <formula>"s"</formula>
    </cfRule>
    <cfRule type="cellIs" dxfId="610" priority="896" stopIfTrue="1" operator="equal">
      <formula>"a"</formula>
    </cfRule>
  </conditionalFormatting>
  <conditionalFormatting sqref="D80:S83 D86:S87 D89:S90">
    <cfRule type="cellIs" dxfId="609" priority="509" stopIfTrue="1" operator="equal">
      <formula>"s"</formula>
    </cfRule>
    <cfRule type="cellIs" dxfId="608" priority="508" stopIfTrue="1" operator="equal">
      <formula>"a"</formula>
    </cfRule>
  </conditionalFormatting>
  <conditionalFormatting sqref="D95:S105">
    <cfRule type="cellIs" dxfId="607" priority="624" stopIfTrue="1" operator="equal">
      <formula>"s"</formula>
    </cfRule>
    <cfRule type="cellIs" dxfId="606" priority="623" stopIfTrue="1" operator="equal">
      <formula>"a"</formula>
    </cfRule>
  </conditionalFormatting>
  <conditionalFormatting sqref="D110:S116">
    <cfRule type="cellIs" dxfId="605" priority="781" stopIfTrue="1" operator="equal">
      <formula>"s"</formula>
    </cfRule>
    <cfRule type="cellIs" dxfId="604" priority="780" stopIfTrue="1" operator="equal">
      <formula>"a"</formula>
    </cfRule>
  </conditionalFormatting>
  <conditionalFormatting sqref="D120:S125">
    <cfRule type="cellIs" dxfId="603" priority="55" stopIfTrue="1" operator="equal">
      <formula>"s"</formula>
    </cfRule>
    <cfRule type="cellIs" dxfId="602" priority="54" stopIfTrue="1" operator="equal">
      <formula>"a"</formula>
    </cfRule>
  </conditionalFormatting>
  <conditionalFormatting sqref="D150:S155">
    <cfRule type="cellIs" dxfId="601" priority="247" stopIfTrue="1" operator="equal">
      <formula>"s"</formula>
    </cfRule>
    <cfRule type="cellIs" dxfId="600" priority="246" stopIfTrue="1" operator="equal">
      <formula>"a"</formula>
    </cfRule>
  </conditionalFormatting>
  <conditionalFormatting sqref="D216:S219">
    <cfRule type="cellIs" dxfId="599" priority="125" stopIfTrue="1" operator="equal">
      <formula>"a"</formula>
    </cfRule>
    <cfRule type="cellIs" dxfId="598" priority="126" stopIfTrue="1" operator="equal">
      <formula>"s"</formula>
    </cfRule>
  </conditionalFormatting>
  <conditionalFormatting sqref="D224:S228">
    <cfRule type="cellIs" dxfId="597" priority="877" stopIfTrue="1" operator="equal">
      <formula>"a"</formula>
    </cfRule>
    <cfRule type="cellIs" dxfId="596" priority="878" stopIfTrue="1" operator="equal">
      <formula>"s"</formula>
    </cfRule>
  </conditionalFormatting>
  <conditionalFormatting sqref="D241:S247">
    <cfRule type="cellIs" dxfId="595" priority="889" stopIfTrue="1" operator="equal">
      <formula>"s"</formula>
    </cfRule>
    <cfRule type="cellIs" dxfId="594" priority="888" stopIfTrue="1" operator="equal">
      <formula>"a"</formula>
    </cfRule>
  </conditionalFormatting>
  <conditionalFormatting sqref="D297:S298">
    <cfRule type="cellIs" dxfId="593" priority="421" stopIfTrue="1" operator="equal">
      <formula>"s"</formula>
    </cfRule>
    <cfRule type="cellIs" dxfId="592" priority="420" stopIfTrue="1" operator="equal">
      <formula>"a"</formula>
    </cfRule>
  </conditionalFormatting>
  <conditionalFormatting sqref="D327:S327">
    <cfRule type="cellIs" dxfId="591" priority="405" stopIfTrue="1" operator="equal">
      <formula>"s"</formula>
    </cfRule>
    <cfRule type="cellIs" dxfId="590" priority="404" stopIfTrue="1" operator="equal">
      <formula>"a"</formula>
    </cfRule>
  </conditionalFormatting>
  <conditionalFormatting sqref="D335:S335">
    <cfRule type="cellIs" dxfId="589" priority="400" stopIfTrue="1" operator="equal">
      <formula>"s"</formula>
    </cfRule>
    <cfRule type="cellIs" dxfId="588" priority="399" stopIfTrue="1" operator="equal">
      <formula>"a"</formula>
    </cfRule>
  </conditionalFormatting>
  <conditionalFormatting sqref="D337:S345">
    <cfRule type="cellIs" dxfId="587" priority="293" stopIfTrue="1" operator="equal">
      <formula>"s"</formula>
    </cfRule>
    <cfRule type="cellIs" dxfId="586" priority="292" stopIfTrue="1" operator="equal">
      <formula>"a"</formula>
    </cfRule>
  </conditionalFormatting>
  <conditionalFormatting sqref="D347:S347">
    <cfRule type="cellIs" dxfId="585" priority="395" stopIfTrue="1" operator="equal">
      <formula>"a"</formula>
    </cfRule>
    <cfRule type="cellIs" dxfId="584" priority="396" stopIfTrue="1" operator="equal">
      <formula>"s"</formula>
    </cfRule>
  </conditionalFormatting>
  <conditionalFormatting sqref="D349:S357">
    <cfRule type="cellIs" dxfId="583" priority="289" stopIfTrue="1" operator="equal">
      <formula>"s"</formula>
    </cfRule>
    <cfRule type="cellIs" dxfId="582" priority="288" stopIfTrue="1" operator="equal">
      <formula>"a"</formula>
    </cfRule>
  </conditionalFormatting>
  <conditionalFormatting sqref="D360:S360">
    <cfRule type="cellIs" dxfId="581" priority="382" stopIfTrue="1" operator="equal">
      <formula>"s"</formula>
    </cfRule>
    <cfRule type="cellIs" dxfId="580" priority="381" stopIfTrue="1" operator="equal">
      <formula>"a"</formula>
    </cfRule>
  </conditionalFormatting>
  <conditionalFormatting sqref="D362:S367">
    <cfRule type="cellIs" dxfId="579" priority="284" stopIfTrue="1" operator="equal">
      <formula>"a"</formula>
    </cfRule>
    <cfRule type="cellIs" dxfId="578" priority="285" stopIfTrue="1" operator="equal">
      <formula>"s"</formula>
    </cfRule>
  </conditionalFormatting>
  <conditionalFormatting sqref="D369:S369">
    <cfRule type="cellIs" dxfId="577" priority="377" stopIfTrue="1" operator="equal">
      <formula>"a"</formula>
    </cfRule>
    <cfRule type="cellIs" dxfId="576" priority="378" stopIfTrue="1" operator="equal">
      <formula>"s"</formula>
    </cfRule>
  </conditionalFormatting>
  <conditionalFormatting sqref="D371:S376">
    <cfRule type="cellIs" dxfId="575" priority="280" stopIfTrue="1" operator="equal">
      <formula>"a"</formula>
    </cfRule>
    <cfRule type="cellIs" dxfId="574" priority="281" stopIfTrue="1" operator="equal">
      <formula>"s"</formula>
    </cfRule>
  </conditionalFormatting>
  <conditionalFormatting sqref="D378:S378">
    <cfRule type="cellIs" dxfId="573" priority="367" stopIfTrue="1" operator="equal">
      <formula>"s"</formula>
    </cfRule>
    <cfRule type="cellIs" dxfId="572" priority="366" stopIfTrue="1" operator="equal">
      <formula>"a"</formula>
    </cfRule>
  </conditionalFormatting>
  <conditionalFormatting sqref="D380:S382">
    <cfRule type="cellIs" dxfId="571" priority="273" stopIfTrue="1" operator="equal">
      <formula>"s"</formula>
    </cfRule>
    <cfRule type="cellIs" dxfId="570" priority="272" stopIfTrue="1" operator="equal">
      <formula>"a"</formula>
    </cfRule>
  </conditionalFormatting>
  <conditionalFormatting sqref="D386:S386">
    <cfRule type="cellIs" dxfId="569" priority="358" stopIfTrue="1" operator="equal">
      <formula>"s"</formula>
    </cfRule>
    <cfRule type="cellIs" dxfId="568" priority="357" stopIfTrue="1" operator="equal">
      <formula>"a"</formula>
    </cfRule>
  </conditionalFormatting>
  <conditionalFormatting sqref="D413:S415 D270:D275 F270:F275 H270:H275 J270:J275 L270:L275 N270:N275 P270:P275 R270:R275 D409:S411 D595:S603">
    <cfRule type="cellIs" dxfId="567" priority="449" stopIfTrue="1" operator="equal">
      <formula>"a"</formula>
    </cfRule>
  </conditionalFormatting>
  <conditionalFormatting sqref="D415:S415">
    <cfRule type="cellIs" dxfId="566" priority="40" stopIfTrue="1" operator="equal">
      <formula>"a"</formula>
    </cfRule>
    <cfRule type="cellIs" dxfId="565" priority="41" stopIfTrue="1" operator="equal">
      <formula>"s"</formula>
    </cfRule>
  </conditionalFormatting>
  <conditionalFormatting sqref="D417:S420">
    <cfRule type="cellIs" dxfId="564" priority="68" stopIfTrue="1" operator="equal">
      <formula>"a"</formula>
    </cfRule>
    <cfRule type="cellIs" dxfId="563" priority="69" stopIfTrue="1" operator="equal">
      <formula>"s"</formula>
    </cfRule>
  </conditionalFormatting>
  <conditionalFormatting sqref="D424:S425">
    <cfRule type="cellIs" dxfId="562" priority="666" stopIfTrue="1" operator="equal">
      <formula>"a"</formula>
    </cfRule>
    <cfRule type="cellIs" dxfId="561" priority="667" stopIfTrue="1" operator="equal">
      <formula>"s"</formula>
    </cfRule>
  </conditionalFormatting>
  <conditionalFormatting sqref="D436:S438 D439">
    <cfRule type="cellIs" dxfId="560" priority="169" stopIfTrue="1" operator="equal">
      <formula>"s"</formula>
    </cfRule>
    <cfRule type="cellIs" dxfId="559" priority="168" stopIfTrue="1" operator="equal">
      <formula>"a"</formula>
    </cfRule>
  </conditionalFormatting>
  <conditionalFormatting sqref="D440:S444">
    <cfRule type="cellIs" dxfId="558" priority="138" stopIfTrue="1" operator="equal">
      <formula>"a"</formula>
    </cfRule>
    <cfRule type="cellIs" dxfId="557" priority="139" stopIfTrue="1" operator="equal">
      <formula>"s"</formula>
    </cfRule>
  </conditionalFormatting>
  <conditionalFormatting sqref="D458:S461">
    <cfRule type="cellIs" dxfId="556" priority="219" stopIfTrue="1" operator="equal">
      <formula>"a"</formula>
    </cfRule>
    <cfRule type="cellIs" dxfId="555" priority="220" stopIfTrue="1" operator="equal">
      <formula>"s"</formula>
    </cfRule>
  </conditionalFormatting>
  <conditionalFormatting sqref="D466:S470">
    <cfRule type="cellIs" dxfId="554" priority="592" stopIfTrue="1" operator="equal">
      <formula>"s"</formula>
    </cfRule>
    <cfRule type="cellIs" dxfId="553" priority="591" stopIfTrue="1" operator="equal">
      <formula>"a"</formula>
    </cfRule>
  </conditionalFormatting>
  <conditionalFormatting sqref="D492:S493">
    <cfRule type="cellIs" dxfId="552" priority="497" stopIfTrue="1" operator="equal">
      <formula>"a"</formula>
    </cfRule>
    <cfRule type="cellIs" dxfId="551" priority="498" stopIfTrue="1" operator="equal">
      <formula>"s"</formula>
    </cfRule>
  </conditionalFormatting>
  <conditionalFormatting sqref="D495:S498">
    <cfRule type="cellIs" dxfId="550" priority="491" stopIfTrue="1" operator="equal">
      <formula>"a"</formula>
    </cfRule>
    <cfRule type="cellIs" dxfId="549" priority="492" stopIfTrue="1" operator="equal">
      <formula>"s"</formula>
    </cfRule>
  </conditionalFormatting>
  <conditionalFormatting sqref="D503:S508">
    <cfRule type="cellIs" dxfId="548" priority="118" stopIfTrue="1" operator="equal">
      <formula>"a"</formula>
    </cfRule>
    <cfRule type="cellIs" dxfId="547" priority="119" stopIfTrue="1" operator="equal">
      <formula>"s"</formula>
    </cfRule>
  </conditionalFormatting>
  <conditionalFormatting sqref="D586:S591">
    <cfRule type="cellIs" dxfId="546" priority="858" stopIfTrue="1" operator="equal">
      <formula>"s"</formula>
    </cfRule>
    <cfRule type="cellIs" dxfId="545" priority="857" stopIfTrue="1" operator="equal">
      <formula>"a"</formula>
    </cfRule>
  </conditionalFormatting>
  <conditionalFormatting sqref="D607:S611">
    <cfRule type="cellIs" dxfId="544" priority="598" stopIfTrue="1" operator="equal">
      <formula>"s"</formula>
    </cfRule>
    <cfRule type="cellIs" dxfId="543" priority="597" stopIfTrue="1" operator="equal">
      <formula>"a"</formula>
    </cfRule>
  </conditionalFormatting>
  <conditionalFormatting sqref="D616:S617">
    <cfRule type="cellIs" dxfId="542" priority="800" stopIfTrue="1" operator="equal">
      <formula>"a"</formula>
    </cfRule>
    <cfRule type="cellIs" dxfId="541" priority="801" stopIfTrue="1" operator="equal">
      <formula>"s"</formula>
    </cfRule>
  </conditionalFormatting>
  <conditionalFormatting sqref="D619:S621">
    <cfRule type="cellIs" dxfId="540" priority="214" stopIfTrue="1" operator="equal">
      <formula>"s"</formula>
    </cfRule>
    <cfRule type="cellIs" dxfId="539" priority="213" stopIfTrue="1" operator="equal">
      <formula>"a"</formula>
    </cfRule>
  </conditionalFormatting>
  <conditionalFormatting sqref="D623:S625">
    <cfRule type="cellIs" dxfId="538" priority="812" stopIfTrue="1" operator="equal">
      <formula>"a"</formula>
    </cfRule>
    <cfRule type="cellIs" dxfId="537" priority="813" stopIfTrue="1" operator="equal">
      <formula>"s"</formula>
    </cfRule>
  </conditionalFormatting>
  <conditionalFormatting sqref="N304:N310">
    <cfRule type="cellIs" dxfId="536" priority="614" stopIfTrue="1" operator="equal">
      <formula>"a"</formula>
    </cfRule>
    <cfRule type="cellIs" dxfId="535" priority="615" stopIfTrue="1" operator="equal">
      <formula>"s"</formula>
    </cfRule>
  </conditionalFormatting>
  <conditionalFormatting sqref="P304:P310">
    <cfRule type="cellIs" dxfId="534" priority="612" stopIfTrue="1" operator="equal">
      <formula>"a"</formula>
    </cfRule>
    <cfRule type="cellIs" dxfId="533" priority="613" stopIfTrue="1" operator="equal">
      <formula>"s"</formula>
    </cfRule>
  </conditionalFormatting>
  <conditionalFormatting sqref="R304:R310">
    <cfRule type="cellIs" dxfId="532" priority="611" stopIfTrue="1" operator="equal">
      <formula>"s"</formula>
    </cfRule>
    <cfRule type="cellIs" dxfId="531" priority="610" stopIfTrue="1" operator="equal">
      <formula>"a"</formula>
    </cfRule>
  </conditionalFormatting>
  <conditionalFormatting sqref="U17 U22 U29 U35 U50 U106 U126 U131 U138 U147 U171 U182 U190 U195 U208 U212 U260 U285 U301 U311 U317 U387 U405 U432 U448 U455 U462 U471 U475 U483 U488 U511 U520">
    <cfRule type="cellIs" dxfId="530" priority="966" stopIfTrue="1" operator="lessThan">
      <formula>F18</formula>
    </cfRule>
    <cfRule type="cellIs" dxfId="529" priority="965" stopIfTrue="1" operator="greaterThan">
      <formula>V17</formula>
    </cfRule>
  </conditionalFormatting>
  <conditionalFormatting sqref="U20">
    <cfRule type="expression" dxfId="528" priority="1053" stopIfTrue="1">
      <formula>SUM($W$21:$W$21)&gt;0</formula>
    </cfRule>
  </conditionalFormatting>
  <conditionalFormatting sqref="U21">
    <cfRule type="expression" dxfId="527" priority="1054" stopIfTrue="1">
      <formula>SUM($W$21:$W$21)&gt;0</formula>
    </cfRule>
  </conditionalFormatting>
  <conditionalFormatting sqref="U26">
    <cfRule type="expression" dxfId="526" priority="524">
      <formula>W28&gt;0</formula>
    </cfRule>
  </conditionalFormatting>
  <conditionalFormatting sqref="U27">
    <cfRule type="expression" dxfId="525" priority="525">
      <formula>W28&gt;0</formula>
    </cfRule>
  </conditionalFormatting>
  <conditionalFormatting sqref="U28">
    <cfRule type="expression" dxfId="524" priority="526" stopIfTrue="1">
      <formula>SUM(W28)&gt;0</formula>
    </cfRule>
  </conditionalFormatting>
  <conditionalFormatting sqref="U40">
    <cfRule type="cellIs" dxfId="523" priority="514" stopIfTrue="1" operator="lessThan">
      <formula>F41</formula>
    </cfRule>
    <cfRule type="cellIs" dxfId="522" priority="513" stopIfTrue="1" operator="greaterThan">
      <formula>V40</formula>
    </cfRule>
  </conditionalFormatting>
  <conditionalFormatting sqref="U59">
    <cfRule type="cellIs" dxfId="521" priority="545" stopIfTrue="1" operator="lessThan">
      <formula>F60</formula>
    </cfRule>
    <cfRule type="cellIs" dxfId="520" priority="544" stopIfTrue="1" operator="greaterThan">
      <formula>V59</formula>
    </cfRule>
  </conditionalFormatting>
  <conditionalFormatting sqref="U72">
    <cfRule type="cellIs" dxfId="519" priority="906" stopIfTrue="1" operator="lessThan">
      <formula>F73</formula>
    </cfRule>
    <cfRule type="cellIs" dxfId="518" priority="905" stopIfTrue="1" operator="greaterThan">
      <formula>V72</formula>
    </cfRule>
  </conditionalFormatting>
  <conditionalFormatting sqref="U76">
    <cfRule type="cellIs" dxfId="517" priority="895" stopIfTrue="1" operator="lessThan">
      <formula>F77</formula>
    </cfRule>
    <cfRule type="cellIs" dxfId="516" priority="894" stopIfTrue="1" operator="greaterThan">
      <formula>V76</formula>
    </cfRule>
  </conditionalFormatting>
  <conditionalFormatting sqref="U91">
    <cfRule type="cellIs" dxfId="515" priority="506" stopIfTrue="1" operator="greaterThan">
      <formula>V91</formula>
    </cfRule>
    <cfRule type="cellIs" dxfId="514" priority="507" stopIfTrue="1" operator="lessThan">
      <formula>F92</formula>
    </cfRule>
  </conditionalFormatting>
  <conditionalFormatting sqref="U101">
    <cfRule type="expression" dxfId="513" priority="616" stopIfTrue="1">
      <formula>SUM(W102)&gt;0</formula>
    </cfRule>
  </conditionalFormatting>
  <conditionalFormatting sqref="U102">
    <cfRule type="expression" dxfId="512" priority="617" stopIfTrue="1">
      <formula>SUM(W102)&gt;0</formula>
    </cfRule>
  </conditionalFormatting>
  <conditionalFormatting sqref="U117">
    <cfRule type="cellIs" dxfId="511" priority="779" stopIfTrue="1" operator="lessThan">
      <formula>F118</formula>
    </cfRule>
    <cfRule type="cellIs" dxfId="510" priority="778" stopIfTrue="1" operator="greaterThan">
      <formula>V117</formula>
    </cfRule>
  </conditionalFormatting>
  <conditionalFormatting sqref="U122">
    <cfRule type="expression" dxfId="509" priority="52">
      <formula>W123&gt;0</formula>
    </cfRule>
  </conditionalFormatting>
  <conditionalFormatting sqref="U123">
    <cfRule type="expression" dxfId="508" priority="53" stopIfTrue="1">
      <formula>SUM(W123)&gt;0</formula>
    </cfRule>
  </conditionalFormatting>
  <conditionalFormatting sqref="U156">
    <cfRule type="cellIs" dxfId="507" priority="244" stopIfTrue="1" operator="greaterThan">
      <formula>V156</formula>
    </cfRule>
    <cfRule type="cellIs" dxfId="506" priority="245" stopIfTrue="1" operator="lessThan">
      <formula>F157</formula>
    </cfRule>
  </conditionalFormatting>
  <conditionalFormatting sqref="U185">
    <cfRule type="expression" dxfId="505" priority="1049" stopIfTrue="1">
      <formula>$T$186="na"</formula>
    </cfRule>
    <cfRule type="expression" dxfId="504" priority="1050" stopIfTrue="1">
      <formula>SUM($W$186:$W$186)&gt;0</formula>
    </cfRule>
  </conditionalFormatting>
  <conditionalFormatting sqref="U186">
    <cfRule type="expression" dxfId="503" priority="1048" stopIfTrue="1">
      <formula>SUM($W$186:$W$186)&gt;0</formula>
    </cfRule>
  </conditionalFormatting>
  <conditionalFormatting sqref="U189">
    <cfRule type="expression" dxfId="502" priority="1047" stopIfTrue="1">
      <formula>#REF!=#REF!</formula>
    </cfRule>
  </conditionalFormatting>
  <conditionalFormatting sqref="U220">
    <cfRule type="cellIs" dxfId="501" priority="124" stopIfTrue="1" operator="lessThan">
      <formula>F221</formula>
    </cfRule>
    <cfRule type="cellIs" dxfId="500" priority="123" stopIfTrue="1" operator="greaterThan">
      <formula>V220</formula>
    </cfRule>
  </conditionalFormatting>
  <conditionalFormatting sqref="U250">
    <cfRule type="cellIs" dxfId="499" priority="887" stopIfTrue="1" operator="lessThan">
      <formula>F251</formula>
    </cfRule>
    <cfRule type="cellIs" dxfId="498" priority="886" stopIfTrue="1" operator="greaterThan">
      <formula>V250</formula>
    </cfRule>
  </conditionalFormatting>
  <conditionalFormatting sqref="U270">
    <cfRule type="expression" dxfId="497" priority="352" stopIfTrue="1">
      <formula>SUM(W271:W272)&gt;0</formula>
    </cfRule>
  </conditionalFormatting>
  <conditionalFormatting sqref="U271:U272">
    <cfRule type="expression" dxfId="496" priority="350" stopIfTrue="1">
      <formula>W271&gt;0</formula>
    </cfRule>
  </conditionalFormatting>
  <conditionalFormatting sqref="U273">
    <cfRule type="expression" dxfId="495" priority="346" stopIfTrue="1">
      <formula>SUM($W$274:$W$275)&gt;0</formula>
    </cfRule>
  </conditionalFormatting>
  <conditionalFormatting sqref="U274">
    <cfRule type="expression" dxfId="494" priority="345" stopIfTrue="1">
      <formula>$W$274&gt;0</formula>
    </cfRule>
  </conditionalFormatting>
  <conditionalFormatting sqref="U275">
    <cfRule type="expression" dxfId="493" priority="344" stopIfTrue="1">
      <formula>$W$275&gt;0</formula>
    </cfRule>
  </conditionalFormatting>
  <conditionalFormatting sqref="U297">
    <cfRule type="expression" dxfId="492" priority="422" stopIfTrue="1">
      <formula>SUM($W$298:$W$298)&gt;0</formula>
    </cfRule>
  </conditionalFormatting>
  <conditionalFormatting sqref="U298">
    <cfRule type="expression" dxfId="491" priority="423" stopIfTrue="1">
      <formula>SUM($W$298:$W$298)&gt;0</formula>
    </cfRule>
  </conditionalFormatting>
  <conditionalFormatting sqref="U392">
    <cfRule type="expression" dxfId="490" priority="209" stopIfTrue="1">
      <formula>SUM($W$394)&gt;0</formula>
    </cfRule>
  </conditionalFormatting>
  <conditionalFormatting sqref="U394">
    <cfRule type="expression" dxfId="489" priority="207" stopIfTrue="1">
      <formula>SUM($W$394)&gt;0</formula>
    </cfRule>
  </conditionalFormatting>
  <conditionalFormatting sqref="U398">
    <cfRule type="expression" dxfId="488" priority="206" stopIfTrue="1">
      <formula>#REF!=#REF!</formula>
    </cfRule>
  </conditionalFormatting>
  <conditionalFormatting sqref="U399">
    <cfRule type="cellIs" dxfId="487" priority="201" stopIfTrue="1" operator="greaterThan">
      <formula>V399</formula>
    </cfRule>
    <cfRule type="cellIs" dxfId="486" priority="202" stopIfTrue="1" operator="lessThan">
      <formula>F400</formula>
    </cfRule>
  </conditionalFormatting>
  <conditionalFormatting sqref="U409 U418 U420">
    <cfRule type="expression" dxfId="485" priority="70" stopIfTrue="1">
      <formula>$W$416&gt;0</formula>
    </cfRule>
  </conditionalFormatting>
  <conditionalFormatting sqref="U409:U411 U413 U417">
    <cfRule type="expression" dxfId="484" priority="71" stopIfTrue="1">
      <formula>$W$416&gt;0</formula>
    </cfRule>
  </conditionalFormatting>
  <conditionalFormatting sqref="U414:U415">
    <cfRule type="expression" dxfId="483" priority="44" stopIfTrue="1">
      <formula>$W$416&gt;0</formula>
    </cfRule>
  </conditionalFormatting>
  <conditionalFormatting sqref="U415">
    <cfRule type="expression" dxfId="482" priority="38" stopIfTrue="1">
      <formula>$W$416&gt;0</formula>
    </cfRule>
  </conditionalFormatting>
  <conditionalFormatting sqref="U419">
    <cfRule type="expression" dxfId="481" priority="66" stopIfTrue="1">
      <formula>$W$416&gt;0</formula>
    </cfRule>
  </conditionalFormatting>
  <conditionalFormatting sqref="U421">
    <cfRule type="cellIs" dxfId="480" priority="750" stopIfTrue="1" operator="lessThan">
      <formula>F422</formula>
    </cfRule>
    <cfRule type="cellIs" dxfId="479" priority="749" stopIfTrue="1" operator="greaterThan">
      <formula>V421</formula>
    </cfRule>
  </conditionalFormatting>
  <conditionalFormatting sqref="U426">
    <cfRule type="cellIs" dxfId="478" priority="700" stopIfTrue="1" operator="greaterThan">
      <formula>V426</formula>
    </cfRule>
    <cfRule type="cellIs" dxfId="477" priority="701" stopIfTrue="1" operator="lessThan">
      <formula>F427</formula>
    </cfRule>
  </conditionalFormatting>
  <conditionalFormatting sqref="U429">
    <cfRule type="expression" dxfId="476" priority="1042" stopIfTrue="1">
      <formula>SUM($W$431:$W$431)&gt;0</formula>
    </cfRule>
  </conditionalFormatting>
  <conditionalFormatting sqref="U431">
    <cfRule type="expression" dxfId="475" priority="1043" stopIfTrue="1">
      <formula>SUM($W$431:$W$431)&gt;0</formula>
    </cfRule>
  </conditionalFormatting>
  <conditionalFormatting sqref="U436:U438">
    <cfRule type="expression" dxfId="474" priority="173" stopIfTrue="1">
      <formula>SUM(#REF!)&gt;0</formula>
    </cfRule>
  </conditionalFormatting>
  <conditionalFormatting sqref="U440:U444">
    <cfRule type="expression" dxfId="473" priority="143" stopIfTrue="1">
      <formula>SUM(#REF!)&gt;0</formula>
    </cfRule>
  </conditionalFormatting>
  <conditionalFormatting sqref="U446:U447">
    <cfRule type="expression" dxfId="472" priority="1493" stopIfTrue="1">
      <formula>SUM(#REF!)&gt;0</formula>
    </cfRule>
  </conditionalFormatting>
  <conditionalFormatting sqref="U466">
    <cfRule type="expression" dxfId="471" priority="1039" stopIfTrue="1">
      <formula>SUM(W467:W470)&gt;0</formula>
    </cfRule>
  </conditionalFormatting>
  <conditionalFormatting sqref="U467:U470">
    <cfRule type="expression" dxfId="470" priority="555" stopIfTrue="1">
      <formula>W467&gt;0</formula>
    </cfRule>
  </conditionalFormatting>
  <conditionalFormatting sqref="U504">
    <cfRule type="expression" dxfId="469" priority="25" stopIfTrue="1">
      <formula>$W$502&gt;0</formula>
    </cfRule>
  </conditionalFormatting>
  <conditionalFormatting sqref="U505 U492:U493 U495:U498 U500:U501 U503 U507">
    <cfRule type="expression" dxfId="468" priority="93" stopIfTrue="1">
      <formula>$W$510&gt;0</formula>
    </cfRule>
  </conditionalFormatting>
  <conditionalFormatting sqref="U505">
    <cfRule type="expression" dxfId="467" priority="87" stopIfTrue="1">
      <formula>$W$506&gt;0</formula>
    </cfRule>
  </conditionalFormatting>
  <conditionalFormatting sqref="U506">
    <cfRule type="expression" dxfId="466" priority="88" stopIfTrue="1">
      <formula>$W$506&gt;0</formula>
    </cfRule>
  </conditionalFormatting>
  <conditionalFormatting sqref="U508">
    <cfRule type="expression" dxfId="465" priority="24" stopIfTrue="1">
      <formula>$W$502&gt;0</formula>
    </cfRule>
  </conditionalFormatting>
  <conditionalFormatting sqref="U510">
    <cfRule type="expression" dxfId="464" priority="94" stopIfTrue="1">
      <formula>$W$510&gt;0</formula>
    </cfRule>
  </conditionalFormatting>
  <conditionalFormatting sqref="U514:U515">
    <cfRule type="expression" dxfId="463" priority="1183" stopIfTrue="1">
      <formula>#REF!&gt;0</formula>
    </cfRule>
  </conditionalFormatting>
  <conditionalFormatting sqref="U516">
    <cfRule type="expression" dxfId="462" priority="1193" stopIfTrue="1">
      <formula>SUM(W519:W519)&gt;0</formula>
    </cfRule>
  </conditionalFormatting>
  <conditionalFormatting sqref="U517">
    <cfRule type="expression" dxfId="461" priority="1194" stopIfTrue="1">
      <formula>SUM(W519:W519)&gt;0</formula>
    </cfRule>
  </conditionalFormatting>
  <conditionalFormatting sqref="U518">
    <cfRule type="expression" dxfId="460" priority="1195" stopIfTrue="1">
      <formula>SUM(W519:W519)&gt;0</formula>
    </cfRule>
  </conditionalFormatting>
  <conditionalFormatting sqref="U519">
    <cfRule type="expression" dxfId="459" priority="972" stopIfTrue="1">
      <formula>W519&gt;0</formula>
    </cfRule>
  </conditionalFormatting>
  <conditionalFormatting sqref="U523">
    <cfRule type="expression" dxfId="458" priority="1227" stopIfTrue="1">
      <formula>SUM(W524:W524)&gt;0</formula>
    </cfRule>
  </conditionalFormatting>
  <conditionalFormatting sqref="U524">
    <cfRule type="expression" dxfId="457" priority="910" stopIfTrue="1">
      <formula>$W$524&gt;0</formula>
    </cfRule>
  </conditionalFormatting>
  <conditionalFormatting sqref="U525">
    <cfRule type="expression" dxfId="456" priority="77" stopIfTrue="1">
      <formula>SUM(W526:W526)&gt;0</formula>
    </cfRule>
  </conditionalFormatting>
  <conditionalFormatting sqref="U526 U534 U540 U555 U564 U575 U582 U604 U612 U626 U638">
    <cfRule type="cellIs" dxfId="455" priority="967" stopIfTrue="1" operator="greaterThan">
      <formula>V526</formula>
    </cfRule>
    <cfRule type="cellIs" dxfId="454" priority="968" stopIfTrue="1" operator="lessThan">
      <formula>F527</formula>
    </cfRule>
  </conditionalFormatting>
  <conditionalFormatting sqref="U553">
    <cfRule type="expression" dxfId="453" priority="1035" stopIfTrue="1">
      <formula>SUM($W$554:$W$554)&gt;0</formula>
    </cfRule>
  </conditionalFormatting>
  <conditionalFormatting sqref="U554">
    <cfRule type="expression" dxfId="452" priority="1036" stopIfTrue="1">
      <formula>SUM($W$554:$W$554)&gt;0</formula>
    </cfRule>
  </conditionalFormatting>
  <conditionalFormatting sqref="U567">
    <cfRule type="expression" dxfId="451" priority="1033" stopIfTrue="1">
      <formula>SUM($W$145:$W$145)&gt;0</formula>
    </cfRule>
  </conditionalFormatting>
  <conditionalFormatting sqref="U568">
    <cfRule type="expression" dxfId="450" priority="1031" stopIfTrue="1">
      <formula>SUM(#REF!)&gt;0</formula>
    </cfRule>
  </conditionalFormatting>
  <conditionalFormatting sqref="U569">
    <cfRule type="expression" dxfId="449" priority="1032" stopIfTrue="1">
      <formula>SUM(#REF!)&gt;0</formula>
    </cfRule>
  </conditionalFormatting>
  <conditionalFormatting sqref="U570">
    <cfRule type="expression" dxfId="448" priority="1034" stopIfTrue="1">
      <formula>SUM($W$145:$W$145)&gt;0</formula>
    </cfRule>
  </conditionalFormatting>
  <conditionalFormatting sqref="U592">
    <cfRule type="cellIs" dxfId="447" priority="862" stopIfTrue="1" operator="greaterThan">
      <formula>V592</formula>
    </cfRule>
    <cfRule type="cellIs" dxfId="446" priority="863" stopIfTrue="1" operator="lessThan">
      <formula>F593</formula>
    </cfRule>
  </conditionalFormatting>
  <conditionalFormatting sqref="U600">
    <cfRule type="expression" dxfId="445" priority="608">
      <formula>SUM(W602)&gt;0</formula>
    </cfRule>
  </conditionalFormatting>
  <conditionalFormatting sqref="U601">
    <cfRule type="expression" dxfId="444" priority="609">
      <formula>SUM(W602)&gt;0</formula>
    </cfRule>
  </conditionalFormatting>
  <conditionalFormatting sqref="U602">
    <cfRule type="expression" dxfId="443" priority="827" stopIfTrue="1">
      <formula>SUM(W602)&gt;0</formula>
    </cfRule>
  </conditionalFormatting>
  <conditionalFormatting sqref="X20">
    <cfRule type="expression" dxfId="442" priority="914" stopIfTrue="1">
      <formula>W20=0</formula>
    </cfRule>
    <cfRule type="expression" dxfId="441" priority="913" stopIfTrue="1">
      <formula>SUM($W$21)&gt;0</formula>
    </cfRule>
  </conditionalFormatting>
  <conditionalFormatting sqref="X21">
    <cfRule type="expression" dxfId="440" priority="916" stopIfTrue="1">
      <formula>W21=0</formula>
    </cfRule>
    <cfRule type="expression" dxfId="439" priority="915" stopIfTrue="1">
      <formula>SUM($W$20)&gt;0</formula>
    </cfRule>
  </conditionalFormatting>
  <conditionalFormatting sqref="X25:X27">
    <cfRule type="expression" dxfId="438" priority="521" stopIfTrue="1">
      <formula>W25=0</formula>
    </cfRule>
  </conditionalFormatting>
  <conditionalFormatting sqref="X26:X27">
    <cfRule type="expression" dxfId="437" priority="520" stopIfTrue="1">
      <formula>$W$28&gt;0</formula>
    </cfRule>
  </conditionalFormatting>
  <conditionalFormatting sqref="X28">
    <cfRule type="expression" dxfId="436" priority="518" stopIfTrue="1">
      <formula>SUM($W$26:$W$27)&gt;0</formula>
    </cfRule>
    <cfRule type="expression" dxfId="435" priority="519" stopIfTrue="1">
      <formula>W28=0</formula>
    </cfRule>
  </conditionalFormatting>
  <conditionalFormatting sqref="X53:X58">
    <cfRule type="expression" dxfId="434" priority="230" stopIfTrue="1">
      <formula>W53=0</formula>
    </cfRule>
  </conditionalFormatting>
  <conditionalFormatting sqref="X95:X101">
    <cfRule type="expression" dxfId="433" priority="619" stopIfTrue="1">
      <formula>W95=0</formula>
    </cfRule>
  </conditionalFormatting>
  <conditionalFormatting sqref="X101">
    <cfRule type="expression" dxfId="432" priority="618" stopIfTrue="1">
      <formula>SUM(W102)&gt;0</formula>
    </cfRule>
  </conditionalFormatting>
  <conditionalFormatting sqref="X102">
    <cfRule type="expression" dxfId="431" priority="620" stopIfTrue="1">
      <formula>SUM(W101)&gt;0</formula>
    </cfRule>
  </conditionalFormatting>
  <conditionalFormatting sqref="X102:X105">
    <cfRule type="expression" dxfId="430" priority="621" stopIfTrue="1">
      <formula>W102=0</formula>
    </cfRule>
  </conditionalFormatting>
  <conditionalFormatting sqref="X110:X116">
    <cfRule type="expression" dxfId="429" priority="758" stopIfTrue="1">
      <formula>W110=0</formula>
    </cfRule>
  </conditionalFormatting>
  <conditionalFormatting sqref="X120:X122">
    <cfRule type="expression" dxfId="428" priority="51" stopIfTrue="1">
      <formula>W120=0</formula>
    </cfRule>
  </conditionalFormatting>
  <conditionalFormatting sqref="X122">
    <cfRule type="expression" dxfId="427" priority="50" stopIfTrue="1">
      <formula>$W$123&gt;0</formula>
    </cfRule>
  </conditionalFormatting>
  <conditionalFormatting sqref="X123">
    <cfRule type="expression" dxfId="426" priority="48" stopIfTrue="1">
      <formula>$W$122&gt;0</formula>
    </cfRule>
  </conditionalFormatting>
  <conditionalFormatting sqref="X123:X125">
    <cfRule type="expression" dxfId="425" priority="49" stopIfTrue="1">
      <formula>W123=0</formula>
    </cfRule>
  </conditionalFormatting>
  <conditionalFormatting sqref="X150:X155">
    <cfRule type="expression" dxfId="424" priority="242" stopIfTrue="1">
      <formula>W150=0</formula>
    </cfRule>
  </conditionalFormatting>
  <conditionalFormatting sqref="X185">
    <cfRule type="expression" dxfId="423" priority="925" stopIfTrue="1">
      <formula>SUM($W$186)&gt;0</formula>
    </cfRule>
    <cfRule type="expression" dxfId="422" priority="926" stopIfTrue="1">
      <formula>W185=0</formula>
    </cfRule>
  </conditionalFormatting>
  <conditionalFormatting sqref="X186">
    <cfRule type="expression" dxfId="421" priority="928" stopIfTrue="1">
      <formula>W186=0</formula>
    </cfRule>
    <cfRule type="expression" dxfId="420" priority="927" stopIfTrue="1">
      <formula>SUM($W$185)&gt;0</formula>
    </cfRule>
  </conditionalFormatting>
  <conditionalFormatting sqref="X224:X228">
    <cfRule type="expression" dxfId="419" priority="876" stopIfTrue="1">
      <formula>W224=0</formula>
    </cfRule>
  </conditionalFormatting>
  <conditionalFormatting sqref="X241:X247">
    <cfRule type="expression" dxfId="418" priority="884" stopIfTrue="1">
      <formula>W241=0</formula>
    </cfRule>
  </conditionalFormatting>
  <conditionalFormatting sqref="X270">
    <cfRule type="expression" dxfId="417" priority="355" stopIfTrue="1">
      <formula>SUM(W271:W272)&gt;0</formula>
    </cfRule>
  </conditionalFormatting>
  <conditionalFormatting sqref="X270:X275">
    <cfRule type="expression" dxfId="416" priority="448" stopIfTrue="1">
      <formula>W270=0</formula>
    </cfRule>
  </conditionalFormatting>
  <conditionalFormatting sqref="X271">
    <cfRule type="expression" dxfId="415" priority="354" stopIfTrue="1">
      <formula>SUM(W270,W272)&gt;0</formula>
    </cfRule>
  </conditionalFormatting>
  <conditionalFormatting sqref="X272">
    <cfRule type="expression" dxfId="414" priority="353" stopIfTrue="1">
      <formula>SUM(W270:W271)&gt;0</formula>
    </cfRule>
  </conditionalFormatting>
  <conditionalFormatting sqref="X273">
    <cfRule type="expression" dxfId="413" priority="349" stopIfTrue="1">
      <formula>SUM(W274:W275)&gt;0</formula>
    </cfRule>
  </conditionalFormatting>
  <conditionalFormatting sqref="X274">
    <cfRule type="expression" dxfId="412" priority="348" stopIfTrue="1">
      <formula>SUM(W273,W275)&gt;0</formula>
    </cfRule>
  </conditionalFormatting>
  <conditionalFormatting sqref="X275">
    <cfRule type="expression" dxfId="411" priority="347" stopIfTrue="1">
      <formula>SUM(W273:W274)&gt;0</formula>
    </cfRule>
  </conditionalFormatting>
  <conditionalFormatting sqref="X277">
    <cfRule type="expression" dxfId="410" priority="186" stopIfTrue="1">
      <formula>W277=0</formula>
    </cfRule>
  </conditionalFormatting>
  <conditionalFormatting sqref="X280:X282">
    <cfRule type="expression" dxfId="409" priority="429" stopIfTrue="1">
      <formula>W280=0</formula>
    </cfRule>
  </conditionalFormatting>
  <conditionalFormatting sqref="X284">
    <cfRule type="expression" dxfId="408" priority="424" stopIfTrue="1">
      <formula>W284=0</formula>
    </cfRule>
  </conditionalFormatting>
  <conditionalFormatting sqref="X294:X297">
    <cfRule type="expression" dxfId="407" priority="417" stopIfTrue="1">
      <formula>W294=0</formula>
    </cfRule>
  </conditionalFormatting>
  <conditionalFormatting sqref="X297">
    <cfRule type="expression" dxfId="406" priority="416" stopIfTrue="1">
      <formula>SUM($W$298)&gt;0</formula>
    </cfRule>
  </conditionalFormatting>
  <conditionalFormatting sqref="X298">
    <cfRule type="expression" dxfId="405" priority="418" stopIfTrue="1">
      <formula>SUM($W$297)&gt;0</formula>
    </cfRule>
  </conditionalFormatting>
  <conditionalFormatting sqref="X298:X300">
    <cfRule type="expression" dxfId="404" priority="419" stopIfTrue="1">
      <formula>W298=0</formula>
    </cfRule>
  </conditionalFormatting>
  <conditionalFormatting sqref="X323">
    <cfRule type="expression" dxfId="403" priority="252" stopIfTrue="1">
      <formula>W323=0</formula>
    </cfRule>
  </conditionalFormatting>
  <conditionalFormatting sqref="X327">
    <cfRule type="expression" dxfId="402" priority="403" stopIfTrue="1">
      <formula>W327=0</formula>
    </cfRule>
  </conditionalFormatting>
  <conditionalFormatting sqref="X329:X333">
    <cfRule type="expression" dxfId="401" priority="266" stopIfTrue="1">
      <formula>SUM($W$329:$W$333)&gt;0</formula>
    </cfRule>
    <cfRule type="expression" dxfId="400" priority="939" stopIfTrue="1">
      <formula>W329=0</formula>
    </cfRule>
  </conditionalFormatting>
  <conditionalFormatting sqref="X335">
    <cfRule type="expression" dxfId="399" priority="398" stopIfTrue="1">
      <formula>W335=0</formula>
    </cfRule>
  </conditionalFormatting>
  <conditionalFormatting sqref="X337:X345">
    <cfRule type="expression" dxfId="398" priority="303" stopIfTrue="1">
      <formula>W337=0</formula>
    </cfRule>
    <cfRule type="expression" dxfId="397" priority="265" stopIfTrue="1">
      <formula>SUM($W$337:$W$345)&gt;0</formula>
    </cfRule>
  </conditionalFormatting>
  <conditionalFormatting sqref="X345">
    <cfRule type="expression" dxfId="396" priority="291" stopIfTrue="1">
      <formula>W345&gt;0</formula>
    </cfRule>
  </conditionalFormatting>
  <conditionalFormatting sqref="X346">
    <cfRule type="expression" dxfId="395" priority="264" stopIfTrue="1">
      <formula>W346=0</formula>
    </cfRule>
  </conditionalFormatting>
  <conditionalFormatting sqref="X347">
    <cfRule type="expression" dxfId="394" priority="394" stopIfTrue="1">
      <formula>W347=0</formula>
    </cfRule>
  </conditionalFormatting>
  <conditionalFormatting sqref="X349:X357">
    <cfRule type="expression" dxfId="393" priority="261" stopIfTrue="1">
      <formula>SUM($W$349:$W$357)&gt;0</formula>
    </cfRule>
    <cfRule type="expression" dxfId="392" priority="386" stopIfTrue="1">
      <formula>W349=0</formula>
    </cfRule>
  </conditionalFormatting>
  <conditionalFormatting sqref="X358">
    <cfRule type="expression" dxfId="391" priority="262" stopIfTrue="1">
      <formula>W358=0</formula>
    </cfRule>
  </conditionalFormatting>
  <conditionalFormatting sqref="X360">
    <cfRule type="expression" dxfId="390" priority="380" stopIfTrue="1">
      <formula>W360=0</formula>
    </cfRule>
  </conditionalFormatting>
  <conditionalFormatting sqref="X362:X367">
    <cfRule type="expression" dxfId="389" priority="259" stopIfTrue="1">
      <formula>SUM($W$362:$W$367)&gt;0</formula>
    </cfRule>
  </conditionalFormatting>
  <conditionalFormatting sqref="X362:X369">
    <cfRule type="expression" dxfId="388" priority="297" stopIfTrue="1">
      <formula>W362=0</formula>
    </cfRule>
  </conditionalFormatting>
  <conditionalFormatting sqref="X371:X376">
    <cfRule type="expression" dxfId="387" priority="257" stopIfTrue="1">
      <formula>SUM($W$371:$W$376)&gt;0</formula>
    </cfRule>
  </conditionalFormatting>
  <conditionalFormatting sqref="X371:X378">
    <cfRule type="expression" dxfId="386" priority="365" stopIfTrue="1">
      <formula>W371=0</formula>
    </cfRule>
  </conditionalFormatting>
  <conditionalFormatting sqref="X380:X382">
    <cfRule type="expression" dxfId="385" priority="253" stopIfTrue="1">
      <formula>SUM($W$380:$W$382)&gt;0</formula>
    </cfRule>
  </conditionalFormatting>
  <conditionalFormatting sqref="X380:X384">
    <cfRule type="expression" dxfId="384" priority="269" stopIfTrue="1">
      <formula>W380=0</formula>
    </cfRule>
  </conditionalFormatting>
  <conditionalFormatting sqref="X386">
    <cfRule type="expression" dxfId="383" priority="356" stopIfTrue="1">
      <formula>W386=0</formula>
    </cfRule>
  </conditionalFormatting>
  <conditionalFormatting sqref="X392">
    <cfRule type="expression" dxfId="382" priority="196" stopIfTrue="1">
      <formula>SUM($W$394)&gt;0</formula>
    </cfRule>
    <cfRule type="expression" dxfId="381" priority="197" stopIfTrue="1">
      <formula>W392=0</formula>
    </cfRule>
  </conditionalFormatting>
  <conditionalFormatting sqref="X394">
    <cfRule type="expression" dxfId="380" priority="198" stopIfTrue="1">
      <formula>SUM($W$392)&gt;0</formula>
    </cfRule>
    <cfRule type="expression" dxfId="379" priority="199" stopIfTrue="1">
      <formula>W394=0</formula>
    </cfRule>
  </conditionalFormatting>
  <conditionalFormatting sqref="X409">
    <cfRule type="expression" dxfId="378" priority="20" stopIfTrue="1">
      <formula>$W$420&gt;0</formula>
    </cfRule>
    <cfRule type="expression" dxfId="377" priority="21" stopIfTrue="1">
      <formula>W409=0</formula>
    </cfRule>
  </conditionalFormatting>
  <conditionalFormatting sqref="X410:X411">
    <cfRule type="expression" dxfId="376" priority="17" stopIfTrue="1">
      <formula>$W$420&gt;0</formula>
    </cfRule>
    <cfRule type="expression" dxfId="375" priority="19" stopIfTrue="1">
      <formula>W410=0</formula>
    </cfRule>
    <cfRule type="expression" dxfId="374" priority="18" stopIfTrue="1">
      <formula>SUM($W$413:$W$414)&gt;0</formula>
    </cfRule>
  </conditionalFormatting>
  <conditionalFormatting sqref="X413">
    <cfRule type="expression" dxfId="373" priority="16" stopIfTrue="1">
      <formula>W413=0</formula>
    </cfRule>
    <cfRule type="expression" dxfId="372" priority="15" stopIfTrue="1">
      <formula>SUM(W410:W411)&gt;0</formula>
    </cfRule>
  </conditionalFormatting>
  <conditionalFormatting sqref="X413:X415">
    <cfRule type="expression" dxfId="371" priority="9" stopIfTrue="1">
      <formula>$W$420&gt;0</formula>
    </cfRule>
  </conditionalFormatting>
  <conditionalFormatting sqref="X414">
    <cfRule type="expression" dxfId="370" priority="12" stopIfTrue="1">
      <formula>SUM(W410:W411)&gt;0</formula>
    </cfRule>
    <cfRule type="expression" dxfId="369" priority="13" stopIfTrue="1">
      <formula>W414=0</formula>
    </cfRule>
  </conditionalFormatting>
  <conditionalFormatting sqref="X415">
    <cfRule type="expression" dxfId="368" priority="10" stopIfTrue="1">
      <formula>W415=0</formula>
    </cfRule>
  </conditionalFormatting>
  <conditionalFormatting sqref="X417">
    <cfRule type="expression" dxfId="367" priority="7" stopIfTrue="1">
      <formula>SUM(W418)&gt;0</formula>
    </cfRule>
    <cfRule type="expression" dxfId="366" priority="8" stopIfTrue="1">
      <formula>W417=0</formula>
    </cfRule>
  </conditionalFormatting>
  <conditionalFormatting sqref="X417:X419">
    <cfRule type="expression" dxfId="365" priority="1" stopIfTrue="1">
      <formula>$W$420&gt;0</formula>
    </cfRule>
  </conditionalFormatting>
  <conditionalFormatting sqref="X418">
    <cfRule type="expression" dxfId="364" priority="5" stopIfTrue="1">
      <formula>W418=0</formula>
    </cfRule>
    <cfRule type="expression" dxfId="363" priority="4" stopIfTrue="1">
      <formula>SUM(W417)&gt;0</formula>
    </cfRule>
  </conditionalFormatting>
  <conditionalFormatting sqref="X419">
    <cfRule type="expression" dxfId="362" priority="2" stopIfTrue="1">
      <formula>W419=0</formula>
    </cfRule>
  </conditionalFormatting>
  <conditionalFormatting sqref="X420">
    <cfRule type="expression" dxfId="361" priority="23" stopIfTrue="1">
      <formula>W420=0</formula>
    </cfRule>
    <cfRule type="expression" dxfId="360" priority="22">
      <formula>SUM(W409:W419)&gt;0</formula>
    </cfRule>
  </conditionalFormatting>
  <conditionalFormatting sqref="X421">
    <cfRule type="expression" dxfId="359" priority="26">
      <formula>$Y$421&gt;0</formula>
    </cfRule>
  </conditionalFormatting>
  <conditionalFormatting sqref="X424:X425">
    <cfRule type="expression" dxfId="358" priority="665" stopIfTrue="1">
      <formula>W424=0</formula>
    </cfRule>
    <cfRule type="expression" dxfId="357" priority="664" stopIfTrue="1">
      <formula>SUM($W$431)&gt;0</formula>
    </cfRule>
  </conditionalFormatting>
  <conditionalFormatting sqref="X429">
    <cfRule type="expression" dxfId="356" priority="929" stopIfTrue="1">
      <formula>SUM($W$431)&gt;0</formula>
    </cfRule>
    <cfRule type="expression" dxfId="355" priority="930" stopIfTrue="1">
      <formula>W429=0</formula>
    </cfRule>
  </conditionalFormatting>
  <conditionalFormatting sqref="X431">
    <cfRule type="expression" dxfId="354" priority="969" stopIfTrue="1">
      <formula>SUM($W$429)&gt;0</formula>
    </cfRule>
    <cfRule type="expression" dxfId="353" priority="970" stopIfTrue="1">
      <formula>W431=0</formula>
    </cfRule>
  </conditionalFormatting>
  <conditionalFormatting sqref="X436">
    <cfRule type="expression" dxfId="352" priority="129" stopIfTrue="1">
      <formula>W436=0</formula>
    </cfRule>
  </conditionalFormatting>
  <conditionalFormatting sqref="X436:X438 X440:X444 X446:X447">
    <cfRule type="expression" dxfId="351" priority="130" stopIfTrue="1">
      <formula>AND($T$436="na",$T$440="na",$T$446="na")</formula>
    </cfRule>
  </conditionalFormatting>
  <conditionalFormatting sqref="X436:X438 X446:X447">
    <cfRule type="expression" dxfId="350" priority="1492" stopIfTrue="1">
      <formula>AND($T$436="na",$T$446="na")</formula>
    </cfRule>
  </conditionalFormatting>
  <conditionalFormatting sqref="X437">
    <cfRule type="expression" dxfId="349" priority="137" stopIfTrue="1">
      <formula>W437=0</formula>
    </cfRule>
  </conditionalFormatting>
  <conditionalFormatting sqref="X438">
    <cfRule type="expression" dxfId="348" priority="172" stopIfTrue="1">
      <formula>W438=0</formula>
    </cfRule>
  </conditionalFormatting>
  <conditionalFormatting sqref="X440">
    <cfRule type="expression" dxfId="347" priority="128" stopIfTrue="1">
      <formula>W440=0</formula>
    </cfRule>
  </conditionalFormatting>
  <conditionalFormatting sqref="X440:X444 X436:X438">
    <cfRule type="expression" dxfId="346" priority="166" stopIfTrue="1">
      <formula>AND($T$436="na",$T$440="na")</formula>
    </cfRule>
  </conditionalFormatting>
  <conditionalFormatting sqref="X441:X444">
    <cfRule type="expression" dxfId="345" priority="142" stopIfTrue="1">
      <formula>W441=0</formula>
    </cfRule>
  </conditionalFormatting>
  <conditionalFormatting sqref="X446:X447 X440:X444">
    <cfRule type="expression" dxfId="344" priority="136" stopIfTrue="1">
      <formula>AND($T$440="na",$T$446="na")</formula>
    </cfRule>
  </conditionalFormatting>
  <conditionalFormatting sqref="X446:X447">
    <cfRule type="expression" dxfId="343" priority="131" stopIfTrue="1">
      <formula>W446=0</formula>
    </cfRule>
  </conditionalFormatting>
  <conditionalFormatting sqref="X458:X461">
    <cfRule type="expression" dxfId="342" priority="218" stopIfTrue="1">
      <formula>W458=0</formula>
    </cfRule>
  </conditionalFormatting>
  <conditionalFormatting sqref="X466">
    <cfRule type="expression" dxfId="341" priority="1073" stopIfTrue="1">
      <formula>W466=0</formula>
    </cfRule>
    <cfRule type="expression" dxfId="340" priority="1072" stopIfTrue="1">
      <formula>SUM($W$467:$W$470)&gt;0</formula>
    </cfRule>
  </conditionalFormatting>
  <conditionalFormatting sqref="X467">
    <cfRule type="expression" dxfId="339" priority="579">
      <formula>SUM(W468:W470)&gt;0</formula>
    </cfRule>
    <cfRule type="expression" dxfId="338" priority="589" stopIfTrue="1">
      <formula>W467=0</formula>
    </cfRule>
    <cfRule type="expression" dxfId="337" priority="588" stopIfTrue="1">
      <formula>SUM(W466)&gt;0</formula>
    </cfRule>
  </conditionalFormatting>
  <conditionalFormatting sqref="X468:X470">
    <cfRule type="expression" dxfId="336" priority="560" stopIfTrue="1">
      <formula>W468=0</formula>
    </cfRule>
    <cfRule type="expression" dxfId="335" priority="559" stopIfTrue="1">
      <formula>SUM($W$466:$W$467)&gt;0</formula>
    </cfRule>
  </conditionalFormatting>
  <conditionalFormatting sqref="X492">
    <cfRule type="expression" dxfId="334" priority="110" stopIfTrue="1">
      <formula>$W$492=0</formula>
    </cfRule>
  </conditionalFormatting>
  <conditionalFormatting sqref="X493">
    <cfRule type="expression" dxfId="333" priority="109" stopIfTrue="1">
      <formula>$W$493=0</formula>
    </cfRule>
  </conditionalFormatting>
  <conditionalFormatting sqref="X495">
    <cfRule type="expression" dxfId="332" priority="108" stopIfTrue="1">
      <formula>$W$495=0</formula>
    </cfRule>
  </conditionalFormatting>
  <conditionalFormatting sqref="X496">
    <cfRule type="expression" dxfId="331" priority="107" stopIfTrue="1">
      <formula>$W$496=0</formula>
    </cfRule>
  </conditionalFormatting>
  <conditionalFormatting sqref="X497">
    <cfRule type="expression" dxfId="330" priority="106" stopIfTrue="1">
      <formula>$W$497=0</formula>
    </cfRule>
  </conditionalFormatting>
  <conditionalFormatting sqref="X498">
    <cfRule type="expression" dxfId="329" priority="105" stopIfTrue="1">
      <formula>$W$498=0</formula>
    </cfRule>
  </conditionalFormatting>
  <conditionalFormatting sqref="X500">
    <cfRule type="expression" dxfId="328" priority="104" stopIfTrue="1">
      <formula>$W$500=0</formula>
    </cfRule>
  </conditionalFormatting>
  <conditionalFormatting sqref="X501">
    <cfRule type="expression" dxfId="327" priority="103" stopIfTrue="1">
      <formula>$W$501=0</formula>
    </cfRule>
  </conditionalFormatting>
  <conditionalFormatting sqref="X503">
    <cfRule type="expression" dxfId="326" priority="102" stopIfTrue="1">
      <formula>$W$503=0</formula>
    </cfRule>
  </conditionalFormatting>
  <conditionalFormatting sqref="X504">
    <cfRule type="expression" dxfId="325" priority="101" stopIfTrue="1">
      <formula>$W$504=0</formula>
    </cfRule>
  </conditionalFormatting>
  <conditionalFormatting sqref="X505">
    <cfRule type="expression" dxfId="324" priority="100" stopIfTrue="1">
      <formula>$W$505=0</formula>
    </cfRule>
  </conditionalFormatting>
  <conditionalFormatting sqref="X505:X506">
    <cfRule type="expression" dxfId="323" priority="89" stopIfTrue="1">
      <formula>SUM($W$505:$W$506)&gt;0</formula>
    </cfRule>
  </conditionalFormatting>
  <conditionalFormatting sqref="X505:X507 X492:X493 X495:X498 X500:X501 X503">
    <cfRule type="expression" priority="95" stopIfTrue="1">
      <formula>$W$510&gt;0</formula>
    </cfRule>
  </conditionalFormatting>
  <conditionalFormatting sqref="X506">
    <cfRule type="expression" dxfId="322" priority="99" stopIfTrue="1">
      <formula>$W$506=0</formula>
    </cfRule>
  </conditionalFormatting>
  <conditionalFormatting sqref="X507">
    <cfRule type="expression" dxfId="321" priority="98" stopIfTrue="1">
      <formula>$W$507=0</formula>
    </cfRule>
  </conditionalFormatting>
  <conditionalFormatting sqref="X508">
    <cfRule type="expression" dxfId="320" priority="97" stopIfTrue="1">
      <formula>$W$508=0</formula>
    </cfRule>
  </conditionalFormatting>
  <conditionalFormatting sqref="X510">
    <cfRule type="expression" dxfId="319" priority="91" stopIfTrue="1">
      <formula>SUM($W$492:$W$493, $W$495:$W$498, $W$500:$W$501, $W$503:$W$508)&gt;0</formula>
    </cfRule>
    <cfRule type="expression" dxfId="318" priority="96" stopIfTrue="1">
      <formula>$W$510=0</formula>
    </cfRule>
  </conditionalFormatting>
  <conditionalFormatting sqref="X514:X515">
    <cfRule type="expression" dxfId="317" priority="1188" stopIfTrue="1">
      <formula>W514=0</formula>
    </cfRule>
  </conditionalFormatting>
  <conditionalFormatting sqref="X516">
    <cfRule type="expression" dxfId="316" priority="1200" stopIfTrue="1">
      <formula>SUM(W519:W519)&gt;0</formula>
    </cfRule>
    <cfRule type="expression" dxfId="315" priority="1201" stopIfTrue="1">
      <formula>W516=0</formula>
    </cfRule>
  </conditionalFormatting>
  <conditionalFormatting sqref="X517">
    <cfRule type="expression" dxfId="314" priority="1197" stopIfTrue="1">
      <formula>W517=0</formula>
    </cfRule>
    <cfRule type="expression" dxfId="313" priority="1196" stopIfTrue="1">
      <formula>SUM(W519:W519)&gt;0</formula>
    </cfRule>
  </conditionalFormatting>
  <conditionalFormatting sqref="X518">
    <cfRule type="expression" dxfId="312" priority="1198" stopIfTrue="1">
      <formula>SUM(W519:W519)&gt;0</formula>
    </cfRule>
    <cfRule type="expression" dxfId="311" priority="1199" stopIfTrue="1">
      <formula>W518=0</formula>
    </cfRule>
  </conditionalFormatting>
  <conditionalFormatting sqref="X519">
    <cfRule type="expression" dxfId="310" priority="1191" stopIfTrue="1">
      <formula>SUM(W517:W519)&gt;0</formula>
    </cfRule>
    <cfRule type="expression" dxfId="309" priority="1192" stopIfTrue="1">
      <formula>W519=0</formula>
    </cfRule>
  </conditionalFormatting>
  <conditionalFormatting sqref="X523">
    <cfRule type="expression" dxfId="308" priority="1225" stopIfTrue="1">
      <formula>SUM(W524,W523)&gt;0</formula>
    </cfRule>
    <cfRule type="expression" dxfId="307" priority="1226" stopIfTrue="1">
      <formula>W523=0</formula>
    </cfRule>
  </conditionalFormatting>
  <conditionalFormatting sqref="X524">
    <cfRule type="expression" dxfId="306" priority="1223" stopIfTrue="1">
      <formula>SUM(W523,W524)&gt;0</formula>
    </cfRule>
    <cfRule type="expression" dxfId="305" priority="1224" stopIfTrue="1">
      <formula>W524=0</formula>
    </cfRule>
  </conditionalFormatting>
  <conditionalFormatting sqref="X525">
    <cfRule type="expression" dxfId="304" priority="79" stopIfTrue="1">
      <formula>W525=0</formula>
    </cfRule>
  </conditionalFormatting>
  <conditionalFormatting sqref="X553">
    <cfRule type="expression" dxfId="303" priority="936" stopIfTrue="1">
      <formula>W553=0</formula>
    </cfRule>
    <cfRule type="expression" dxfId="302" priority="935" stopIfTrue="1">
      <formula>SUM($W$554)&gt;0</formula>
    </cfRule>
  </conditionalFormatting>
  <conditionalFormatting sqref="X554">
    <cfRule type="expression" dxfId="301" priority="938" stopIfTrue="1">
      <formula>W554=0</formula>
    </cfRule>
    <cfRule type="expression" dxfId="300" priority="937" stopIfTrue="1">
      <formula>SUM($W$553)&gt;0</formula>
    </cfRule>
  </conditionalFormatting>
  <conditionalFormatting sqref="X558">
    <cfRule type="expression" dxfId="299" priority="943" stopIfTrue="1">
      <formula>W558=0</formula>
    </cfRule>
    <cfRule type="expression" dxfId="298" priority="942" stopIfTrue="1">
      <formula>SUM(W559)&gt;0</formula>
    </cfRule>
  </conditionalFormatting>
  <conditionalFormatting sqref="X559">
    <cfRule type="expression" dxfId="297" priority="941" stopIfTrue="1">
      <formula>W559=0</formula>
    </cfRule>
    <cfRule type="expression" dxfId="296" priority="940" stopIfTrue="1">
      <formula>SUM(W558)&gt;0</formula>
    </cfRule>
  </conditionalFormatting>
  <conditionalFormatting sqref="X567">
    <cfRule type="expression" dxfId="295" priority="959" stopIfTrue="1">
      <formula>W567=0</formula>
    </cfRule>
    <cfRule type="expression" dxfId="294" priority="958" stopIfTrue="1">
      <formula>SUM(W570)&gt;0</formula>
    </cfRule>
  </conditionalFormatting>
  <conditionalFormatting sqref="X568:X569">
    <cfRule type="expression" dxfId="293" priority="963" stopIfTrue="1">
      <formula>W568=0</formula>
    </cfRule>
    <cfRule type="expression" dxfId="292" priority="962" stopIfTrue="1">
      <formula>SUM($W$570)&gt;0</formula>
    </cfRule>
  </conditionalFormatting>
  <conditionalFormatting sqref="X570">
    <cfRule type="expression" dxfId="291" priority="961" stopIfTrue="1">
      <formula>W570=0</formula>
    </cfRule>
    <cfRule type="expression" dxfId="290" priority="960" stopIfTrue="1">
      <formula>SUM(W567:W569)&gt;0</formula>
    </cfRule>
  </conditionalFormatting>
  <conditionalFormatting sqref="X586:X591">
    <cfRule type="expression" dxfId="289" priority="856" stopIfTrue="1">
      <formula>W586=0</formula>
    </cfRule>
  </conditionalFormatting>
  <conditionalFormatting sqref="X595:X600 X6:X16 X32:X34 X38:X39 X43:X49 X63:X65 X67:X71 X75 X80:X83 X86:X87 X89:X90 X129:X130 X134:X137 X142:X146 X161 X163 X165 X167:X168 X170 X175:X181 X188:X189 X193:X194 X198:X207 X211 X216:X219 X231:X235 X237 X239 X249 X253:X259 X264 X267:X268 X289 X291 X304:X310 X314:X316 X321:X322 X324 X396 X398 X402:X404 X451:X454 X474 X478:X482 X486:X487 X530:X533 X537:X539 X543:X552 X560:X563 X571:X574 X578:X581 X630:X637">
    <cfRule type="expression" dxfId="288" priority="912" stopIfTrue="1">
      <formula>W6=0</formula>
    </cfRule>
  </conditionalFormatting>
  <conditionalFormatting sqref="X600">
    <cfRule type="expression" dxfId="287" priority="823" stopIfTrue="1">
      <formula>SUM($W$602)&gt;0</formula>
    </cfRule>
  </conditionalFormatting>
  <conditionalFormatting sqref="X601">
    <cfRule type="expression" dxfId="286" priority="821" stopIfTrue="1">
      <formula>SUM($W$602)&gt;0</formula>
    </cfRule>
  </conditionalFormatting>
  <conditionalFormatting sqref="X601:X603">
    <cfRule type="expression" dxfId="285" priority="822" stopIfTrue="1">
      <formula>W601=0</formula>
    </cfRule>
  </conditionalFormatting>
  <conditionalFormatting sqref="X602">
    <cfRule type="expression" dxfId="284" priority="819" stopIfTrue="1">
      <formula>SUM($W$600:$W$601)&gt;0</formula>
    </cfRule>
  </conditionalFormatting>
  <conditionalFormatting sqref="X607:X611">
    <cfRule type="expression" dxfId="283" priority="596" stopIfTrue="1">
      <formula>W607=0</formula>
    </cfRule>
  </conditionalFormatting>
  <conditionalFormatting sqref="X616:X617">
    <cfRule type="expression" dxfId="282" priority="799" stopIfTrue="1">
      <formula>W616=0</formula>
    </cfRule>
  </conditionalFormatting>
  <conditionalFormatting sqref="X619:X620">
    <cfRule type="expression" dxfId="281" priority="210" stopIfTrue="1">
      <formula>AND(COUNTIF($D$619:$S$619,"s"),COUNTIF($D$620:$S$620,"a"))</formula>
    </cfRule>
  </conditionalFormatting>
  <conditionalFormatting sqref="X619:X621">
    <cfRule type="expression" dxfId="280" priority="212" stopIfTrue="1">
      <formula>W619=0</formula>
    </cfRule>
  </conditionalFormatting>
  <conditionalFormatting sqref="X623:X625">
    <cfRule type="expression" dxfId="279" priority="811" stopIfTrue="1">
      <formula>W623=0</formula>
    </cfRule>
  </conditionalFormatting>
  <conditionalFormatting sqref="Z5:Z493 Z503:Z639">
    <cfRule type="cellIs" dxfId="278" priority="73" stopIfTrue="1" operator="equal">
      <formula>"a"</formula>
    </cfRule>
  </conditionalFormatting>
  <conditionalFormatting sqref="Z495:Z498">
    <cfRule type="cellIs" dxfId="277" priority="493" stopIfTrue="1" operator="equal">
      <formula>"a"</formula>
    </cfRule>
  </conditionalFormatting>
  <conditionalFormatting sqref="Z500:Z501">
    <cfRule type="cellIs" dxfId="276" priority="1044" stopIfTrue="1" operator="equal">
      <formula>"a"</formula>
    </cfRule>
  </conditionalFormatting>
  <dataValidations disablePrompts="1" count="5">
    <dataValidation allowBlank="1" showInputMessage="1" showErrorMessage="1" prompt="Fill &quot;a&quot; for hybrid." sqref="D298:S298" xr:uid="{00000000-0002-0000-0B00-000000000000}"/>
    <dataValidation allowBlank="1" showInputMessage="1" showErrorMessage="1" prompt="Fill &quot;a&quot; for closed-loop, &quot;s&quot; for open-loop." sqref="D297:S297" xr:uid="{00000000-0002-0000-0B00-000001000000}"/>
    <dataValidation allowBlank="1" showInputMessage="1" showErrorMessage="1" prompt="Use NA only if ship is solely powered by LNG" sqref="T264" xr:uid="{00000000-0002-0000-0B00-000002000000}"/>
    <dataValidation allowBlank="1" showErrorMessage="1" sqref="T277" xr:uid="{00000000-0002-0000-0B00-000003000000}"/>
    <dataValidation type="custom" allowBlank="1" showInputMessage="1" showErrorMessage="1" errorTitle="Input check" error="This cell must be filled-in ONLY if the answer is YES (If the answer is NO, fill-in Alternative 2 below)" sqref="D392:S392" xr:uid="{2009E366-C981-4781-9C71-2B374CFA27C1}">
      <formula1>OR(ISNUMBER(FIND("a",D392)),ISNUMBER(FIND("A",D392)))</formula1>
    </dataValidation>
  </dataValidations>
  <printOptions horizontalCentered="1"/>
  <pageMargins left="0.35433070866141736" right="0.35433070866141736" top="0.19685039370078741" bottom="0.23622047244094491" header="0.15748031496062992" footer="0.11811023622047245"/>
  <pageSetup paperSize="9" scale="45" fitToWidth="0" fitToHeight="0" orientation="landscape" r:id="rId1"/>
  <headerFooter alignWithMargins="0">
    <oddFooter>&amp;L&amp;11CKL TNK / VERSION 2025 / 1.1&amp;C&amp;11OMC-09&amp;R&amp;11&amp;P of &amp;N</oddFooter>
  </headerFooter>
  <rowBreaks count="28" manualBreakCount="28">
    <brk id="23" max="23" man="1"/>
    <brk id="51" max="23" man="1"/>
    <brk id="77" max="23" man="1"/>
    <brk id="92" max="23" man="1"/>
    <brk id="118" max="23" man="1"/>
    <brk id="139" max="23" man="1"/>
    <brk id="157" max="23" man="1"/>
    <brk id="172" max="23" man="1"/>
    <brk id="191" max="23" man="1"/>
    <brk id="213" max="23" man="1"/>
    <brk id="221" max="23" man="1"/>
    <brk id="251" max="23" man="1"/>
    <brk id="261" max="23" man="1"/>
    <brk id="286" max="23" man="1"/>
    <brk id="302" max="23" man="1"/>
    <brk id="318" max="23" man="1"/>
    <brk id="333" max="23" man="1"/>
    <brk id="358" max="23" man="1"/>
    <brk id="388" max="23" man="1"/>
    <brk id="406" max="23" man="1"/>
    <brk id="433" max="23" man="1"/>
    <brk id="456" max="23" man="1"/>
    <brk id="484" max="23" man="1"/>
    <brk id="512" max="23" man="1"/>
    <brk id="541" max="23" man="1"/>
    <brk id="565" max="23" man="1"/>
    <brk id="593" max="23" man="1"/>
    <brk id="613" max="23" man="1"/>
  </rowBreaks>
  <ignoredErrors>
    <ignoredError sqref="V296 V299 W323"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dimension ref="A1:AT80"/>
  <sheetViews>
    <sheetView zoomScale="50" zoomScaleNormal="50" zoomScaleSheetLayoutView="50" workbookViewId="0">
      <pane ySplit="3" topLeftCell="A4" activePane="bottomLeft" state="frozen"/>
      <selection activeCell="A4" sqref="A4"/>
      <selection pane="bottomLeft" activeCell="X1" sqref="X1"/>
    </sheetView>
  </sheetViews>
  <sheetFormatPr defaultColWidth="8.85546875" defaultRowHeight="33.75" x14ac:dyDescent="0.2"/>
  <cols>
    <col min="1" max="1" width="9.7109375" style="694" customWidth="1"/>
    <col min="2" max="2" width="13.5703125" style="696" customWidth="1"/>
    <col min="3" max="3" width="151.28515625" style="708" customWidth="1"/>
    <col min="4" max="7" width="5.7109375" style="696" customWidth="1"/>
    <col min="8" max="8" width="1.7109375" style="696" customWidth="1"/>
    <col min="9" max="9" width="5.7109375" style="696" hidden="1" customWidth="1"/>
    <col min="10" max="20" width="5.7109375" style="696" customWidth="1"/>
    <col min="21" max="21" width="8" style="696" customWidth="1"/>
    <col min="22" max="22" width="7.85546875" style="709" customWidth="1"/>
    <col min="23" max="23" width="2.42578125" style="696" hidden="1" customWidth="1"/>
    <col min="24" max="24" width="7.28515625" style="695" customWidth="1"/>
    <col min="25" max="25" width="8.85546875" style="696" customWidth="1"/>
    <col min="26" max="26" width="11.28515625" style="696" bestFit="1" customWidth="1"/>
    <col min="27" max="28" width="12.85546875" style="696" customWidth="1"/>
    <col min="29" max="86" width="8.85546875" style="696" customWidth="1"/>
    <col min="87" max="16384" width="8.85546875" style="696"/>
  </cols>
  <sheetData>
    <row r="1" spans="1:46" s="694" customFormat="1" ht="40.15" customHeight="1" thickBot="1" x14ac:dyDescent="0.3">
      <c r="A1" s="386" t="str">
        <f>'Checklist - Basic Ship Oil'!A1</f>
        <v xml:space="preserve">GA Code: </v>
      </c>
      <c r="B1" s="387"/>
      <c r="C1" s="399" t="str">
        <f>'Checklist - Basic Ship Oil'!C1</f>
        <v xml:space="preserve">Ship name:   </v>
      </c>
      <c r="D1" s="387"/>
      <c r="E1" s="398"/>
      <c r="F1" s="398"/>
      <c r="G1" s="398"/>
      <c r="H1" s="398"/>
      <c r="I1" s="398"/>
      <c r="J1" s="398"/>
      <c r="K1" s="398"/>
      <c r="L1" s="398"/>
      <c r="M1" s="398"/>
      <c r="N1" s="398"/>
      <c r="O1" s="398"/>
      <c r="P1" s="398"/>
      <c r="Q1" s="398"/>
      <c r="R1" s="398"/>
      <c r="S1" s="398"/>
      <c r="T1"/>
      <c r="U1" s="62"/>
      <c r="V1" s="388" t="str">
        <f>'Checklist - Basic Ship Oil'!T1</f>
        <v xml:space="preserve">Date of Ship Survey:  </v>
      </c>
      <c r="W1" s="62"/>
      <c r="X1" s="62"/>
      <c r="Y1" s="353"/>
      <c r="Z1" s="353"/>
      <c r="AA1" s="353"/>
      <c r="AB1" s="353"/>
    </row>
    <row r="2" spans="1:46" ht="29.25" customHeight="1" thickBot="1" x14ac:dyDescent="0.25">
      <c r="A2" s="4"/>
      <c r="B2" s="978" t="s">
        <v>1804</v>
      </c>
      <c r="C2" s="979"/>
      <c r="D2" s="979"/>
      <c r="E2" s="979"/>
      <c r="F2" s="979"/>
      <c r="G2" s="979"/>
      <c r="H2" s="979"/>
      <c r="I2" s="979"/>
      <c r="J2" s="979"/>
      <c r="K2" s="979"/>
      <c r="L2" s="979"/>
      <c r="M2" s="979"/>
      <c r="N2" s="979"/>
      <c r="O2" s="979"/>
      <c r="P2" s="979"/>
      <c r="Q2" s="979"/>
      <c r="R2" s="979"/>
      <c r="S2" s="979"/>
      <c r="T2" s="1095"/>
      <c r="U2" s="1096"/>
      <c r="V2" s="469"/>
      <c r="W2" s="82"/>
      <c r="X2" s="295"/>
      <c r="Y2" s="28"/>
      <c r="Z2" s="28"/>
      <c r="AA2" s="1093" t="s">
        <v>442</v>
      </c>
      <c r="AB2" s="1094"/>
    </row>
    <row r="3" spans="1:46" ht="161.44999999999999" customHeight="1" thickBot="1" x14ac:dyDescent="0.25">
      <c r="A3" s="467"/>
      <c r="B3" s="5" t="s">
        <v>295</v>
      </c>
      <c r="C3" s="871" t="s">
        <v>511</v>
      </c>
      <c r="D3" s="1091"/>
      <c r="E3" s="1091"/>
      <c r="F3" s="1091"/>
      <c r="G3" s="1091"/>
      <c r="H3" s="1091"/>
      <c r="I3" s="1091"/>
      <c r="J3" s="1092"/>
      <c r="K3" s="872" t="s">
        <v>172</v>
      </c>
      <c r="L3" s="873"/>
      <c r="M3" s="874"/>
      <c r="N3" s="875" t="s">
        <v>794</v>
      </c>
      <c r="O3" s="876"/>
      <c r="P3" s="877"/>
      <c r="Q3" s="878" t="s">
        <v>560</v>
      </c>
      <c r="R3" s="1081"/>
      <c r="S3" s="1082"/>
      <c r="T3" s="1080" t="s">
        <v>1053</v>
      </c>
      <c r="U3" s="879"/>
      <c r="V3" s="469"/>
      <c r="W3" s="82"/>
      <c r="X3" s="295"/>
      <c r="Y3" s="28"/>
      <c r="Z3" s="28"/>
      <c r="AA3" s="359" t="s">
        <v>555</v>
      </c>
      <c r="AB3" s="360" t="s">
        <v>556</v>
      </c>
    </row>
    <row r="4" spans="1:46" s="701" customFormat="1" ht="30" customHeight="1" thickBot="1" x14ac:dyDescent="0.25">
      <c r="A4" s="293"/>
      <c r="B4" s="553">
        <f>'Checklist - Ranking Ship Oil'!B4</f>
        <v>1000</v>
      </c>
      <c r="C4" s="1051" t="str">
        <f>'Checklist - Ranking Ship Oil'!C4</f>
        <v>GENERAL</v>
      </c>
      <c r="D4" s="1052"/>
      <c r="E4" s="1052"/>
      <c r="F4" s="1052"/>
      <c r="G4" s="1052"/>
      <c r="H4" s="1052"/>
      <c r="I4" s="1052"/>
      <c r="J4" s="1052"/>
      <c r="K4" s="788"/>
      <c r="L4" s="788"/>
      <c r="M4" s="788"/>
      <c r="N4" s="788"/>
      <c r="O4" s="788"/>
      <c r="P4" s="788"/>
      <c r="Q4" s="788"/>
      <c r="R4" s="788"/>
      <c r="S4" s="788"/>
      <c r="T4" s="788"/>
      <c r="U4" s="789"/>
      <c r="V4" s="470"/>
      <c r="W4" s="298"/>
      <c r="X4" s="295"/>
      <c r="Y4" s="28"/>
      <c r="Z4" s="352"/>
      <c r="AA4" s="28"/>
      <c r="AB4" s="28"/>
      <c r="AC4" s="696"/>
      <c r="AD4" s="696"/>
      <c r="AE4" s="696"/>
      <c r="AF4" s="696"/>
      <c r="AG4" s="696"/>
      <c r="AH4" s="696"/>
      <c r="AI4" s="696"/>
      <c r="AJ4" s="696"/>
      <c r="AK4" s="696"/>
      <c r="AL4" s="696"/>
      <c r="AM4" s="696"/>
      <c r="AN4" s="696"/>
      <c r="AO4" s="696"/>
      <c r="AP4" s="696"/>
      <c r="AQ4" s="696"/>
      <c r="AR4" s="696"/>
      <c r="AS4" s="696"/>
      <c r="AT4" s="696"/>
    </row>
    <row r="5" spans="1:46" s="701" customFormat="1" ht="27.95" customHeight="1" x14ac:dyDescent="0.2">
      <c r="A5" s="293"/>
      <c r="B5" s="319">
        <f>'Checklist - Ranking Ship Oil'!B5</f>
        <v>1200</v>
      </c>
      <c r="C5" s="884" t="str">
        <f>'Checklist - Ranking Ship Oil'!C5</f>
        <v>Enclosed Space Entry &amp; Hot Work</v>
      </c>
      <c r="D5" s="885"/>
      <c r="E5" s="885"/>
      <c r="F5" s="885"/>
      <c r="G5" s="885"/>
      <c r="H5" s="885"/>
      <c r="I5" s="885"/>
      <c r="J5" s="886"/>
      <c r="K5" s="1057">
        <f>'Checklist - Ranking Ship Oil'!U17</f>
        <v>0</v>
      </c>
      <c r="L5" s="1058"/>
      <c r="M5" s="1059"/>
      <c r="N5" s="1048">
        <f>'Checklist - Ranking Ship Oil'!V17</f>
        <v>80</v>
      </c>
      <c r="O5" s="1049"/>
      <c r="P5" s="1050"/>
      <c r="Q5" s="1042">
        <f>'Checklist - Ranking Ship Oil'!F18</f>
        <v>80</v>
      </c>
      <c r="R5" s="1043"/>
      <c r="S5" s="1043"/>
      <c r="T5" s="1044"/>
      <c r="U5" s="946"/>
      <c r="V5" s="470"/>
      <c r="W5" s="296"/>
      <c r="X5" s="296"/>
      <c r="Y5" s="28"/>
      <c r="Z5" s="352"/>
      <c r="AA5" s="363"/>
      <c r="AB5" s="364" t="str">
        <f t="shared" ref="AB5:AB13" si="0">IF(Q5=N5, IF(K5=N5,"a","s"),"")</f>
        <v>s</v>
      </c>
      <c r="AC5" s="696"/>
      <c r="AD5" s="696"/>
      <c r="AE5" s="696"/>
      <c r="AF5" s="696"/>
      <c r="AG5" s="696"/>
      <c r="AH5" s="696"/>
      <c r="AI5" s="696"/>
      <c r="AJ5" s="696"/>
      <c r="AK5" s="696"/>
      <c r="AL5" s="696"/>
      <c r="AM5" s="696"/>
      <c r="AN5" s="696"/>
      <c r="AO5" s="696"/>
      <c r="AP5" s="696"/>
      <c r="AQ5" s="696"/>
      <c r="AR5" s="696"/>
      <c r="AS5" s="696"/>
      <c r="AT5" s="696"/>
    </row>
    <row r="6" spans="1:46" s="701" customFormat="1" ht="27.95" customHeight="1" x14ac:dyDescent="0.2">
      <c r="A6" s="293"/>
      <c r="B6" s="319">
        <f>'Checklist - Ranking Ship Oil'!B19</f>
        <v>1300</v>
      </c>
      <c r="C6" s="826" t="str">
        <f>'Checklist - Ranking Ship Oil'!C19</f>
        <v>Compressor for the refilling of air cylinders for breathing apparatus or Alternative, Additional Green Award requirement</v>
      </c>
      <c r="D6" s="827"/>
      <c r="E6" s="827"/>
      <c r="F6" s="827"/>
      <c r="G6" s="827"/>
      <c r="H6" s="827"/>
      <c r="I6" s="827"/>
      <c r="J6" s="828"/>
      <c r="K6" s="1035">
        <f>'Checklist - Ranking Ship Oil'!U22</f>
        <v>0</v>
      </c>
      <c r="L6" s="1036"/>
      <c r="M6" s="1037"/>
      <c r="N6" s="1038">
        <f>'Checklist - Ranking Ship Oil'!V22</f>
        <v>20</v>
      </c>
      <c r="O6" s="1039"/>
      <c r="P6" s="1040"/>
      <c r="Q6" s="893">
        <f>'Checklist - Ranking Ship Oil'!F23</f>
        <v>10</v>
      </c>
      <c r="R6" s="894"/>
      <c r="S6" s="894"/>
      <c r="T6" s="1041"/>
      <c r="U6" s="971"/>
      <c r="V6" s="470"/>
      <c r="W6" s="296"/>
      <c r="X6" s="296"/>
      <c r="Y6" s="28"/>
      <c r="Z6" s="352"/>
      <c r="AA6" s="363"/>
      <c r="AB6" s="364" t="str">
        <f t="shared" si="0"/>
        <v/>
      </c>
      <c r="AC6" s="696"/>
      <c r="AD6" s="696"/>
      <c r="AE6" s="696"/>
      <c r="AF6" s="696"/>
      <c r="AG6" s="696"/>
      <c r="AH6" s="696"/>
      <c r="AI6" s="696"/>
      <c r="AJ6" s="696"/>
      <c r="AK6" s="696"/>
      <c r="AL6" s="696"/>
      <c r="AM6" s="696"/>
      <c r="AN6" s="696"/>
      <c r="AO6" s="696"/>
      <c r="AP6" s="696"/>
      <c r="AQ6" s="696"/>
      <c r="AR6" s="696"/>
      <c r="AS6" s="696"/>
      <c r="AT6" s="696"/>
    </row>
    <row r="7" spans="1:46" s="701" customFormat="1" ht="27.95" customHeight="1" x14ac:dyDescent="0.2">
      <c r="A7" s="293"/>
      <c r="B7" s="319">
        <f>'Checklist - Ranking Ship Oil'!B24</f>
        <v>1400</v>
      </c>
      <c r="C7" s="826" t="str">
        <f>'Checklist - Ranking Ship Oil'!C24</f>
        <v>Control of drugs &amp; alcohol onboard</v>
      </c>
      <c r="D7" s="827"/>
      <c r="E7" s="827"/>
      <c r="F7" s="827"/>
      <c r="G7" s="827"/>
      <c r="H7" s="827"/>
      <c r="I7" s="827"/>
      <c r="J7" s="828"/>
      <c r="K7" s="1035">
        <f>'Checklist - Ranking Ship Oil'!U29</f>
        <v>0</v>
      </c>
      <c r="L7" s="1036"/>
      <c r="M7" s="1037"/>
      <c r="N7" s="1038">
        <f>'Checklist - Ranking Ship Oil'!V29</f>
        <v>35</v>
      </c>
      <c r="O7" s="1039"/>
      <c r="P7" s="1040"/>
      <c r="Q7" s="893">
        <f>'Checklist - Ranking Ship Oil'!F30</f>
        <v>20</v>
      </c>
      <c r="R7" s="894"/>
      <c r="S7" s="894"/>
      <c r="T7" s="1041"/>
      <c r="U7" s="971"/>
      <c r="V7" s="470"/>
      <c r="W7" s="296"/>
      <c r="X7" s="296"/>
      <c r="Y7" s="28"/>
      <c r="Z7" s="352"/>
      <c r="AA7" s="363"/>
      <c r="AB7" s="364" t="str">
        <f t="shared" si="0"/>
        <v/>
      </c>
      <c r="AC7" s="696"/>
      <c r="AD7" s="696"/>
      <c r="AE7" s="696"/>
      <c r="AF7" s="696"/>
      <c r="AG7" s="696"/>
      <c r="AH7" s="696"/>
      <c r="AI7" s="696"/>
      <c r="AJ7" s="696"/>
      <c r="AK7" s="696"/>
      <c r="AL7" s="696"/>
      <c r="AM7" s="696"/>
      <c r="AN7" s="696"/>
      <c r="AO7" s="696"/>
      <c r="AP7" s="696"/>
      <c r="AQ7" s="696"/>
      <c r="AR7" s="696"/>
      <c r="AS7" s="696"/>
      <c r="AT7" s="696"/>
    </row>
    <row r="8" spans="1:46" s="701" customFormat="1" ht="27.95" customHeight="1" x14ac:dyDescent="0.2">
      <c r="A8" s="187"/>
      <c r="B8" s="319">
        <f>'Checklist - Ranking Ship Oil'!B31</f>
        <v>1500</v>
      </c>
      <c r="C8" s="826" t="str">
        <f>'Checklist - Ranking Ship Oil'!C31</f>
        <v>Emergency Response System</v>
      </c>
      <c r="D8" s="827"/>
      <c r="E8" s="827"/>
      <c r="F8" s="827"/>
      <c r="G8" s="827"/>
      <c r="H8" s="827"/>
      <c r="I8" s="827"/>
      <c r="J8" s="828"/>
      <c r="K8" s="1035">
        <f>'Checklist - Ranking Ship Oil'!U35</f>
        <v>0</v>
      </c>
      <c r="L8" s="1036"/>
      <c r="M8" s="1037"/>
      <c r="N8" s="1038">
        <f>'Checklist - Ranking Ship Oil'!V35</f>
        <v>30</v>
      </c>
      <c r="O8" s="1039"/>
      <c r="P8" s="1040"/>
      <c r="Q8" s="893">
        <f>'Checklist - Ranking Ship Oil'!F36</f>
        <v>15</v>
      </c>
      <c r="R8" s="894"/>
      <c r="S8" s="894"/>
      <c r="T8" s="1041"/>
      <c r="U8" s="971"/>
      <c r="V8" s="470"/>
      <c r="W8" s="296"/>
      <c r="X8" s="296"/>
      <c r="Y8" s="28"/>
      <c r="Z8" s="352"/>
      <c r="AA8" s="363"/>
      <c r="AB8" s="364" t="str">
        <f t="shared" si="0"/>
        <v/>
      </c>
      <c r="AC8" s="696"/>
      <c r="AD8" s="696"/>
      <c r="AE8" s="696"/>
      <c r="AF8" s="696"/>
      <c r="AG8" s="696"/>
      <c r="AH8" s="696"/>
      <c r="AI8" s="696"/>
      <c r="AJ8" s="696"/>
      <c r="AK8" s="696"/>
      <c r="AL8" s="696"/>
      <c r="AM8" s="696"/>
      <c r="AN8" s="696"/>
      <c r="AO8" s="696"/>
      <c r="AP8" s="696"/>
      <c r="AQ8" s="696"/>
      <c r="AR8" s="696"/>
      <c r="AS8" s="696"/>
      <c r="AT8" s="696"/>
    </row>
    <row r="9" spans="1:46" s="701" customFormat="1" ht="27.95" customHeight="1" x14ac:dyDescent="0.2">
      <c r="A9" s="187"/>
      <c r="B9" s="319" t="str">
        <f>'Checklist - Ranking Ship Oil'!B37</f>
        <v>1510</v>
      </c>
      <c r="C9" s="826" t="str">
        <f>'Checklist - Ranking Ship Oil'!C37</f>
        <v>Emergency Oil Recovery</v>
      </c>
      <c r="D9" s="827"/>
      <c r="E9" s="827"/>
      <c r="F9" s="827"/>
      <c r="G9" s="827"/>
      <c r="H9" s="827"/>
      <c r="I9" s="827"/>
      <c r="J9" s="828"/>
      <c r="K9" s="1035">
        <f>'Checklist - Ranking Ship Oil'!U40</f>
        <v>0</v>
      </c>
      <c r="L9" s="1036"/>
      <c r="M9" s="1037"/>
      <c r="N9" s="1038">
        <f>'Checklist - Ranking Ship Oil'!V40</f>
        <v>10</v>
      </c>
      <c r="O9" s="1039"/>
      <c r="P9" s="1040"/>
      <c r="Q9" s="893">
        <f>'Checklist - Ranking Ship Oil'!F41</f>
        <v>0</v>
      </c>
      <c r="R9" s="894"/>
      <c r="S9" s="894"/>
      <c r="T9" s="1041"/>
      <c r="U9" s="971"/>
      <c r="V9" s="470"/>
      <c r="W9" s="296"/>
      <c r="X9" s="296"/>
      <c r="Y9" s="28"/>
      <c r="Z9" s="352"/>
      <c r="AA9" s="363"/>
      <c r="AB9" s="364" t="str">
        <f t="shared" ref="AB9" si="1">IF(Q9=N9, IF(K9=N9,"a","s"),"")</f>
        <v/>
      </c>
      <c r="AC9" s="696"/>
      <c r="AD9" s="696"/>
      <c r="AE9" s="696"/>
      <c r="AF9" s="696"/>
      <c r="AG9" s="696"/>
      <c r="AH9" s="696"/>
      <c r="AI9" s="696"/>
      <c r="AJ9" s="696"/>
      <c r="AK9" s="696"/>
      <c r="AL9" s="696"/>
      <c r="AM9" s="696"/>
      <c r="AN9" s="696"/>
      <c r="AO9" s="696"/>
      <c r="AP9" s="696"/>
      <c r="AQ9" s="696"/>
      <c r="AR9" s="696"/>
      <c r="AS9" s="696"/>
      <c r="AT9" s="696"/>
    </row>
    <row r="10" spans="1:46" s="701" customFormat="1" ht="27.95" customHeight="1" x14ac:dyDescent="0.2">
      <c r="A10" s="187"/>
      <c r="B10" s="539" t="str">
        <f>'Checklist - Ranking Ship Oil'!B42</f>
        <v>1600</v>
      </c>
      <c r="C10" s="826" t="str">
        <f>'Checklist - Ranking Ship Oil'!C42</f>
        <v>Computer Systems, Networks, Data Security and Training. GA requirement</v>
      </c>
      <c r="D10" s="827"/>
      <c r="E10" s="827"/>
      <c r="F10" s="827"/>
      <c r="G10" s="827"/>
      <c r="H10" s="827"/>
      <c r="I10" s="827"/>
      <c r="J10" s="828"/>
      <c r="K10" s="1035">
        <f>'Checklist - Ranking Ship Oil'!U50</f>
        <v>0</v>
      </c>
      <c r="L10" s="1036"/>
      <c r="M10" s="1037"/>
      <c r="N10" s="1038">
        <f>'Checklist - Ranking Ship Oil'!V50</f>
        <v>60</v>
      </c>
      <c r="O10" s="1039"/>
      <c r="P10" s="1040"/>
      <c r="Q10" s="893">
        <f>'Checklist - Ranking Ship Oil'!F51</f>
        <v>30</v>
      </c>
      <c r="R10" s="894"/>
      <c r="S10" s="894"/>
      <c r="T10" s="1041"/>
      <c r="U10" s="971"/>
      <c r="V10" s="470"/>
      <c r="W10" s="296"/>
      <c r="X10" s="296"/>
      <c r="Y10" s="28"/>
      <c r="Z10" s="352"/>
      <c r="AA10" s="363"/>
      <c r="AB10" s="364" t="str">
        <f t="shared" ref="AB10:AB12" si="2">IF(Q10=N10, IF(K10=N10,"a","s"),"")</f>
        <v/>
      </c>
      <c r="AC10" s="696"/>
      <c r="AD10" s="696"/>
      <c r="AE10" s="696"/>
      <c r="AF10" s="696"/>
      <c r="AG10" s="696"/>
      <c r="AH10" s="696"/>
      <c r="AI10" s="696"/>
      <c r="AJ10" s="696"/>
      <c r="AK10" s="696"/>
      <c r="AL10" s="696"/>
      <c r="AM10" s="696"/>
      <c r="AN10" s="696"/>
      <c r="AO10" s="696"/>
      <c r="AP10" s="696"/>
      <c r="AQ10" s="696"/>
      <c r="AR10" s="696"/>
      <c r="AS10" s="696"/>
      <c r="AT10" s="696"/>
    </row>
    <row r="11" spans="1:46" s="701" customFormat="1" ht="27.95" customHeight="1" x14ac:dyDescent="0.2">
      <c r="A11" s="187"/>
      <c r="B11" s="539" t="str">
        <f>'Checklist - Ranking Ship Oil'!B52</f>
        <v>1610</v>
      </c>
      <c r="C11" s="826" t="str">
        <f>'Checklist - Ranking Ship Oil'!C52</f>
        <v>Cyber Risk Management</v>
      </c>
      <c r="D11" s="827"/>
      <c r="E11" s="827"/>
      <c r="F11" s="827"/>
      <c r="G11" s="827"/>
      <c r="H11" s="827"/>
      <c r="I11" s="827"/>
      <c r="J11" s="828"/>
      <c r="K11" s="1035">
        <f>'Checklist - Ranking Ship Oil'!U59</f>
        <v>0</v>
      </c>
      <c r="L11" s="1036"/>
      <c r="M11" s="1037"/>
      <c r="N11" s="1038">
        <f>'Checklist - Ranking Ship Oil'!V59</f>
        <v>35</v>
      </c>
      <c r="O11" s="1039"/>
      <c r="P11" s="1040"/>
      <c r="Q11" s="893">
        <f>'Checklist - Ranking Ship Oil'!F60</f>
        <v>15</v>
      </c>
      <c r="R11" s="894"/>
      <c r="S11" s="894"/>
      <c r="T11" s="1041"/>
      <c r="U11" s="971"/>
      <c r="V11" s="470"/>
      <c r="W11" s="296"/>
      <c r="X11" s="296"/>
      <c r="Y11" s="28"/>
      <c r="Z11" s="352"/>
      <c r="AA11" s="363"/>
      <c r="AB11" s="364" t="str">
        <f t="shared" ref="AB11" si="3">IF(Q11=N11, IF(K11=N11,"a","s"),"")</f>
        <v/>
      </c>
      <c r="AC11" s="696"/>
      <c r="AD11" s="696"/>
      <c r="AE11" s="696"/>
      <c r="AF11" s="696"/>
      <c r="AG11" s="696"/>
      <c r="AH11" s="696"/>
      <c r="AI11" s="696"/>
      <c r="AJ11" s="696"/>
      <c r="AK11" s="696"/>
      <c r="AL11" s="696"/>
      <c r="AM11" s="696"/>
      <c r="AN11" s="696"/>
      <c r="AO11" s="696"/>
      <c r="AP11" s="696"/>
      <c r="AQ11" s="696"/>
      <c r="AR11" s="696"/>
      <c r="AS11" s="696"/>
      <c r="AT11" s="696"/>
    </row>
    <row r="12" spans="1:46" s="701" customFormat="1" ht="27.95" customHeight="1" x14ac:dyDescent="0.2">
      <c r="A12" s="187"/>
      <c r="B12" s="539" t="str">
        <f>'Checklist - Ranking Ship Oil'!B61</f>
        <v>1700</v>
      </c>
      <c r="C12" s="826" t="str">
        <f>'Checklist - Ranking Ship Oil'!C61</f>
        <v>Noise and Vibration Management</v>
      </c>
      <c r="D12" s="827"/>
      <c r="E12" s="827"/>
      <c r="F12" s="827"/>
      <c r="G12" s="827"/>
      <c r="H12" s="827"/>
      <c r="I12" s="827"/>
      <c r="J12" s="828"/>
      <c r="K12" s="1035">
        <f>'Checklist - Ranking Ship Oil'!U72</f>
        <v>0</v>
      </c>
      <c r="L12" s="1036"/>
      <c r="M12" s="1037"/>
      <c r="N12" s="1038">
        <f>'Checklist - Ranking Ship Oil'!V72</f>
        <v>50</v>
      </c>
      <c r="O12" s="1039"/>
      <c r="P12" s="1040"/>
      <c r="Q12" s="893">
        <f>'Checklist - Ranking Ship Oil'!F73</f>
        <v>15</v>
      </c>
      <c r="R12" s="894"/>
      <c r="S12" s="894"/>
      <c r="T12" s="1041"/>
      <c r="U12" s="971"/>
      <c r="V12" s="470"/>
      <c r="W12" s="296"/>
      <c r="X12" s="296"/>
      <c r="Y12" s="28"/>
      <c r="Z12" s="352"/>
      <c r="AA12" s="363"/>
      <c r="AB12" s="364" t="str">
        <f t="shared" si="2"/>
        <v/>
      </c>
      <c r="AC12" s="696"/>
      <c r="AD12" s="696"/>
      <c r="AE12" s="696"/>
      <c r="AF12" s="696"/>
      <c r="AG12" s="696"/>
      <c r="AH12" s="696"/>
      <c r="AI12" s="696"/>
      <c r="AJ12" s="696"/>
      <c r="AK12" s="696"/>
      <c r="AL12" s="696"/>
      <c r="AM12" s="696"/>
      <c r="AN12" s="696"/>
      <c r="AO12" s="696"/>
      <c r="AP12" s="696"/>
      <c r="AQ12" s="696"/>
      <c r="AR12" s="696"/>
      <c r="AS12" s="696"/>
      <c r="AT12" s="696"/>
    </row>
    <row r="13" spans="1:46" s="701" customFormat="1" ht="27.95" customHeight="1" thickBot="1" x14ac:dyDescent="0.25">
      <c r="A13" s="187"/>
      <c r="B13" s="539" t="str">
        <f>'Checklist - Ranking Ship Oil'!B74</f>
        <v>1710</v>
      </c>
      <c r="C13" s="826" t="str">
        <f>'Checklist - Ranking Ship Oil'!C74</f>
        <v>Underwater Noise and Vibration Management</v>
      </c>
      <c r="D13" s="827"/>
      <c r="E13" s="827"/>
      <c r="F13" s="827"/>
      <c r="G13" s="827"/>
      <c r="H13" s="827"/>
      <c r="I13" s="827"/>
      <c r="J13" s="828"/>
      <c r="K13" s="1035">
        <f>'Checklist - Ranking Ship Oil'!U76</f>
        <v>0</v>
      </c>
      <c r="L13" s="1036"/>
      <c r="M13" s="1037"/>
      <c r="N13" s="1038">
        <f>'Checklist - Ranking Ship Oil'!V76</f>
        <v>5</v>
      </c>
      <c r="O13" s="1039"/>
      <c r="P13" s="1040"/>
      <c r="Q13" s="893">
        <f>'Checklist - Ranking Ship Oil'!F77</f>
        <v>0</v>
      </c>
      <c r="R13" s="894"/>
      <c r="S13" s="894"/>
      <c r="T13" s="1041"/>
      <c r="U13" s="971"/>
      <c r="V13" s="470"/>
      <c r="W13" s="296"/>
      <c r="X13" s="296"/>
      <c r="Y13" s="28"/>
      <c r="Z13" s="352"/>
      <c r="AA13" s="365"/>
      <c r="AB13" s="366" t="str">
        <f t="shared" si="0"/>
        <v/>
      </c>
      <c r="AC13" s="696"/>
      <c r="AD13" s="696"/>
      <c r="AE13" s="696"/>
      <c r="AF13" s="696"/>
      <c r="AG13" s="696"/>
      <c r="AH13" s="696"/>
      <c r="AI13" s="696"/>
      <c r="AJ13" s="696"/>
      <c r="AK13" s="696"/>
      <c r="AL13" s="696"/>
      <c r="AM13" s="696"/>
      <c r="AN13" s="696"/>
      <c r="AO13" s="696"/>
      <c r="AP13" s="696"/>
      <c r="AQ13" s="696"/>
      <c r="AR13" s="696"/>
      <c r="AS13" s="696"/>
      <c r="AT13" s="696"/>
    </row>
    <row r="14" spans="1:46" s="701" customFormat="1" ht="27.95" customHeight="1" thickBot="1" x14ac:dyDescent="0.25">
      <c r="A14" s="187"/>
      <c r="B14" s="539" t="str">
        <f>'Checklist - Ranking Ship Oil'!B78</f>
        <v>1800</v>
      </c>
      <c r="C14" s="826" t="str">
        <f>'Checklist - Ranking Ship Oil'!C78</f>
        <v>Social Dimension / Sustainability</v>
      </c>
      <c r="D14" s="827"/>
      <c r="E14" s="827"/>
      <c r="F14" s="827"/>
      <c r="G14" s="827"/>
      <c r="H14" s="827"/>
      <c r="I14" s="827"/>
      <c r="J14" s="828"/>
      <c r="K14" s="1035">
        <f>'Checklist - Ranking Ship Oil'!U91</f>
        <v>0</v>
      </c>
      <c r="L14" s="1036"/>
      <c r="M14" s="1037"/>
      <c r="N14" s="1038">
        <f>'Checklist - Ranking Ship Oil'!V91</f>
        <v>50</v>
      </c>
      <c r="O14" s="1039"/>
      <c r="P14" s="1040"/>
      <c r="Q14" s="893">
        <f>'Checklist - Ranking Ship Oil'!F92</f>
        <v>10</v>
      </c>
      <c r="R14" s="894"/>
      <c r="S14" s="894"/>
      <c r="T14" s="1041"/>
      <c r="U14" s="971"/>
      <c r="V14" s="470"/>
      <c r="W14" s="296"/>
      <c r="X14" s="296"/>
      <c r="Y14" s="28"/>
      <c r="Z14" s="352"/>
      <c r="AA14" s="365"/>
      <c r="AB14" s="366" t="str">
        <f t="shared" ref="AB14" si="4">IF(Q14=N14, IF(K14=N14,"a","s"),"")</f>
        <v/>
      </c>
      <c r="AC14" s="696"/>
      <c r="AD14" s="696"/>
      <c r="AE14" s="696"/>
      <c r="AF14" s="696"/>
      <c r="AG14" s="696"/>
      <c r="AH14" s="696"/>
      <c r="AI14" s="696"/>
      <c r="AJ14" s="696"/>
      <c r="AK14" s="696"/>
      <c r="AL14" s="696"/>
      <c r="AM14" s="696"/>
      <c r="AN14" s="696"/>
      <c r="AO14" s="696"/>
      <c r="AP14" s="696"/>
      <c r="AQ14" s="696"/>
      <c r="AR14" s="696"/>
      <c r="AS14" s="696"/>
      <c r="AT14" s="696"/>
    </row>
    <row r="15" spans="1:46" s="701" customFormat="1" ht="30" customHeight="1" thickBot="1" x14ac:dyDescent="0.25">
      <c r="A15" s="293"/>
      <c r="B15" s="327">
        <f>'Checklist - Ranking Ship Oil'!B93</f>
        <v>2000</v>
      </c>
      <c r="C15" s="1051" t="str">
        <f>'Checklist - Ranking Ship Oil'!C93</f>
        <v>NAVIGATION / BRIDGE OPERATIONS</v>
      </c>
      <c r="D15" s="1052"/>
      <c r="E15" s="1052"/>
      <c r="F15" s="1052"/>
      <c r="G15" s="1052"/>
      <c r="H15" s="1052"/>
      <c r="I15" s="1052"/>
      <c r="J15" s="1052"/>
      <c r="K15" s="788"/>
      <c r="L15" s="788"/>
      <c r="M15" s="788"/>
      <c r="N15" s="788"/>
      <c r="O15" s="788"/>
      <c r="P15" s="788"/>
      <c r="Q15" s="788"/>
      <c r="R15" s="788"/>
      <c r="S15" s="788"/>
      <c r="T15" s="788"/>
      <c r="U15" s="789"/>
      <c r="V15" s="470"/>
      <c r="W15" s="296"/>
      <c r="X15" s="296"/>
      <c r="Y15" s="28"/>
      <c r="Z15" s="352"/>
      <c r="AA15" s="28"/>
      <c r="AB15" s="28"/>
      <c r="AC15" s="696"/>
      <c r="AD15" s="696"/>
      <c r="AE15" s="696"/>
      <c r="AF15" s="696"/>
      <c r="AG15" s="696"/>
      <c r="AH15" s="696"/>
      <c r="AI15" s="696"/>
      <c r="AJ15" s="696"/>
      <c r="AK15" s="696"/>
      <c r="AL15" s="696"/>
      <c r="AM15" s="696"/>
      <c r="AN15" s="696"/>
      <c r="AO15" s="696"/>
      <c r="AP15" s="696"/>
      <c r="AQ15" s="696"/>
      <c r="AR15" s="696"/>
    </row>
    <row r="16" spans="1:46" s="701" customFormat="1" ht="27.95" customHeight="1" x14ac:dyDescent="0.2">
      <c r="A16" s="187"/>
      <c r="B16" s="472" t="str">
        <f>'Checklist - Ranking Ship Oil'!B94</f>
        <v>2100</v>
      </c>
      <c r="C16" s="884" t="str">
        <f>'Checklist - Ranking Ship Oil'!C94</f>
        <v xml:space="preserve">Navigation               </v>
      </c>
      <c r="D16" s="885"/>
      <c r="E16" s="885"/>
      <c r="F16" s="885"/>
      <c r="G16" s="885"/>
      <c r="H16" s="885"/>
      <c r="I16" s="885"/>
      <c r="J16" s="886"/>
      <c r="K16" s="1057">
        <f>'Checklist - Ranking Ship Oil'!U106</f>
        <v>0</v>
      </c>
      <c r="L16" s="1058"/>
      <c r="M16" s="1059"/>
      <c r="N16" s="1048">
        <f>'Checklist - Ranking Ship Oil'!V106</f>
        <v>120</v>
      </c>
      <c r="O16" s="1049"/>
      <c r="P16" s="1050"/>
      <c r="Q16" s="1042">
        <f>'Checklist - Ranking Ship Oil'!F107</f>
        <v>40</v>
      </c>
      <c r="R16" s="1043"/>
      <c r="S16" s="1043"/>
      <c r="T16" s="1044"/>
      <c r="U16" s="946"/>
      <c r="V16" s="470"/>
      <c r="W16" s="296"/>
      <c r="X16" s="296"/>
      <c r="Y16" s="28"/>
      <c r="Z16" s="352"/>
      <c r="AA16" s="361"/>
      <c r="AB16" s="362" t="str">
        <f>IF(Q16=N16, IF(K16=N16,"a","s"),"")</f>
        <v/>
      </c>
      <c r="AC16" s="696"/>
      <c r="AD16" s="696"/>
      <c r="AE16" s="696"/>
      <c r="AF16" s="696"/>
      <c r="AG16" s="696"/>
      <c r="AH16" s="696"/>
      <c r="AI16" s="696"/>
      <c r="AJ16" s="696"/>
      <c r="AK16" s="696"/>
      <c r="AL16" s="696"/>
      <c r="AM16" s="696"/>
      <c r="AN16" s="696"/>
      <c r="AO16" s="696"/>
      <c r="AP16" s="696"/>
      <c r="AQ16" s="696"/>
      <c r="AR16" s="696"/>
    </row>
    <row r="17" spans="1:28" s="701" customFormat="1" ht="27.95" customHeight="1" x14ac:dyDescent="0.2">
      <c r="A17" s="187"/>
      <c r="B17" s="473" t="str">
        <f>'Checklist - Ranking Ship Oil'!B108</f>
        <v>2111</v>
      </c>
      <c r="C17" s="826" t="str">
        <f>'Checklist - Ranking Ship Oil'!C108</f>
        <v>Electronic chart display &amp; information systems / ECDIS</v>
      </c>
      <c r="D17" s="827"/>
      <c r="E17" s="827"/>
      <c r="F17" s="827"/>
      <c r="G17" s="827"/>
      <c r="H17" s="827"/>
      <c r="I17" s="827"/>
      <c r="J17" s="828"/>
      <c r="K17" s="1035">
        <f>'Checklist - Ranking Ship Oil'!U117</f>
        <v>0</v>
      </c>
      <c r="L17" s="1036"/>
      <c r="M17" s="1037"/>
      <c r="N17" s="1038">
        <f>'Checklist - Ranking Ship Oil'!V117</f>
        <v>55</v>
      </c>
      <c r="O17" s="1039"/>
      <c r="P17" s="1040"/>
      <c r="Q17" s="893">
        <f>'Checklist - Ranking Ship Oil'!F118</f>
        <v>30</v>
      </c>
      <c r="R17" s="894"/>
      <c r="S17" s="894"/>
      <c r="T17" s="1041"/>
      <c r="U17" s="971"/>
      <c r="V17" s="470"/>
      <c r="W17" s="296"/>
      <c r="X17" s="296"/>
      <c r="Y17" s="28"/>
      <c r="Z17" s="352"/>
      <c r="AA17" s="363"/>
      <c r="AB17" s="364" t="str">
        <f>IF(Q17=N17, IF(K17=N17,"a","s"),"")</f>
        <v/>
      </c>
    </row>
    <row r="18" spans="1:28" s="701" customFormat="1" ht="27.95" customHeight="1" x14ac:dyDescent="0.2">
      <c r="A18" s="187"/>
      <c r="B18" s="185">
        <f>'Checklist - Ranking Ship Oil'!B119</f>
        <v>2120</v>
      </c>
      <c r="C18" s="826" t="str">
        <f>'Checklist - Ranking Ship Oil'!C119</f>
        <v>Environmental Requirements during the Voyage</v>
      </c>
      <c r="D18" s="827"/>
      <c r="E18" s="827"/>
      <c r="F18" s="827"/>
      <c r="G18" s="827"/>
      <c r="H18" s="827"/>
      <c r="I18" s="827"/>
      <c r="J18" s="828"/>
      <c r="K18" s="1035">
        <f>'Checklist - Ranking Ship Oil'!U126</f>
        <v>0</v>
      </c>
      <c r="L18" s="1036"/>
      <c r="M18" s="1037"/>
      <c r="N18" s="1038">
        <f>'Checklist - Ranking Ship Oil'!V126</f>
        <v>45</v>
      </c>
      <c r="O18" s="1039"/>
      <c r="P18" s="1040"/>
      <c r="Q18" s="893">
        <f>'Checklist - Ranking Ship Oil'!F127</f>
        <v>40</v>
      </c>
      <c r="R18" s="894"/>
      <c r="S18" s="894"/>
      <c r="T18" s="1041"/>
      <c r="U18" s="971"/>
      <c r="V18" s="470"/>
      <c r="W18" s="296"/>
      <c r="X18" s="296"/>
      <c r="Y18" s="28"/>
      <c r="Z18" s="352"/>
      <c r="AA18" s="363"/>
      <c r="AB18" s="364" t="str">
        <f>IF(Q18=N18, IF(K18=N18,"a","s"),"")</f>
        <v/>
      </c>
    </row>
    <row r="19" spans="1:28" s="701" customFormat="1" ht="27.95" customHeight="1" x14ac:dyDescent="0.2">
      <c r="A19" s="293"/>
      <c r="B19" s="473">
        <f>'Checklist - Ranking Ship Oil'!B128</f>
        <v>2200</v>
      </c>
      <c r="C19" s="826" t="str">
        <f>'Checklist - Ranking Ship Oil'!C128</f>
        <v>Helicopter / Ship Operations</v>
      </c>
      <c r="D19" s="827"/>
      <c r="E19" s="827"/>
      <c r="F19" s="827"/>
      <c r="G19" s="827"/>
      <c r="H19" s="827"/>
      <c r="I19" s="827"/>
      <c r="J19" s="828"/>
      <c r="K19" s="1035">
        <f>'Checklist - Ranking Ship Oil'!U131</f>
        <v>0</v>
      </c>
      <c r="L19" s="1036"/>
      <c r="M19" s="1037"/>
      <c r="N19" s="1038">
        <f>'Checklist - Ranking Ship Oil'!V131</f>
        <v>20</v>
      </c>
      <c r="O19" s="1039"/>
      <c r="P19" s="1040"/>
      <c r="Q19" s="893">
        <f>'Checklist - Ranking Ship Oil'!F132</f>
        <v>20</v>
      </c>
      <c r="R19" s="894"/>
      <c r="S19" s="894"/>
      <c r="T19" s="1041"/>
      <c r="U19" s="971"/>
      <c r="V19" s="470"/>
      <c r="W19" s="296"/>
      <c r="X19" s="296"/>
      <c r="Y19" s="28"/>
      <c r="Z19" s="352"/>
      <c r="AA19" s="363"/>
      <c r="AB19" s="364" t="str">
        <f>IF(Q19=N19, IF(K19=N19,"a","s"),"")</f>
        <v>s</v>
      </c>
    </row>
    <row r="20" spans="1:28" s="701" customFormat="1" ht="27.95" customHeight="1" thickBot="1" x14ac:dyDescent="0.25">
      <c r="A20" s="293"/>
      <c r="B20" s="319">
        <f>'Checklist - Ranking Ship Oil'!B133</f>
        <v>2300</v>
      </c>
      <c r="C20" s="826" t="str">
        <f>'Checklist - Ranking Ship Oil'!C133</f>
        <v xml:space="preserve">Mooring Operations  </v>
      </c>
      <c r="D20" s="827"/>
      <c r="E20" s="827"/>
      <c r="F20" s="827"/>
      <c r="G20" s="827"/>
      <c r="H20" s="827"/>
      <c r="I20" s="827"/>
      <c r="J20" s="828"/>
      <c r="K20" s="1035">
        <f>'Checklist - Ranking Ship Oil'!U138</f>
        <v>0</v>
      </c>
      <c r="L20" s="1036"/>
      <c r="M20" s="1037"/>
      <c r="N20" s="1038">
        <f>'Checklist - Ranking Ship Oil'!V138</f>
        <v>50</v>
      </c>
      <c r="O20" s="1039"/>
      <c r="P20" s="1040"/>
      <c r="Q20" s="893">
        <f>'Checklist - Ranking Ship Oil'!F139</f>
        <v>30</v>
      </c>
      <c r="R20" s="894"/>
      <c r="S20" s="894"/>
      <c r="T20" s="1041"/>
      <c r="U20" s="971"/>
      <c r="V20" s="470"/>
      <c r="W20" s="296"/>
      <c r="X20" s="296"/>
      <c r="Y20" s="28"/>
      <c r="Z20" s="352"/>
      <c r="AA20" s="365"/>
      <c r="AB20" s="366" t="str">
        <f>IF(Q20=N20, IF(K20=N20,"a","s"),"")</f>
        <v/>
      </c>
    </row>
    <row r="21" spans="1:28" s="701" customFormat="1" ht="30" customHeight="1" thickBot="1" x14ac:dyDescent="0.25">
      <c r="A21" s="293"/>
      <c r="B21" s="327">
        <f>'Checklist - Ranking Ship Oil'!B140</f>
        <v>3000</v>
      </c>
      <c r="C21" s="1051" t="str">
        <f>'Checklist - Ranking Ship Oil'!C140</f>
        <v>MACHINERY / ENGINE OPERATIONS</v>
      </c>
      <c r="D21" s="1052"/>
      <c r="E21" s="1052"/>
      <c r="F21" s="1052"/>
      <c r="G21" s="1052"/>
      <c r="H21" s="1052"/>
      <c r="I21" s="1052"/>
      <c r="J21" s="1052"/>
      <c r="K21" s="788"/>
      <c r="L21" s="788"/>
      <c r="M21" s="788"/>
      <c r="N21" s="788"/>
      <c r="O21" s="788"/>
      <c r="P21" s="788"/>
      <c r="Q21" s="788"/>
      <c r="R21" s="788"/>
      <c r="S21" s="788"/>
      <c r="T21" s="788"/>
      <c r="U21" s="789"/>
      <c r="V21" s="471"/>
      <c r="W21" s="296"/>
      <c r="X21" s="296"/>
      <c r="Y21" s="28"/>
      <c r="Z21" s="352"/>
      <c r="AA21" s="28"/>
      <c r="AB21" s="28"/>
    </row>
    <row r="22" spans="1:28" s="701" customFormat="1" ht="27.95" customHeight="1" x14ac:dyDescent="0.2">
      <c r="A22" s="293"/>
      <c r="B22" s="472" t="str">
        <f>'Checklist - Ranking Ship Oil'!B141</f>
        <v>3100</v>
      </c>
      <c r="C22" s="884" t="str">
        <f>'Checklist - Ranking Ship Oil'!C141</f>
        <v xml:space="preserve">Bunker Operations </v>
      </c>
      <c r="D22" s="885"/>
      <c r="E22" s="885"/>
      <c r="F22" s="885"/>
      <c r="G22" s="885"/>
      <c r="H22" s="885"/>
      <c r="I22" s="885"/>
      <c r="J22" s="886"/>
      <c r="K22" s="1057">
        <f>'Checklist - Ranking Ship Oil'!U147</f>
        <v>0</v>
      </c>
      <c r="L22" s="1058"/>
      <c r="M22" s="1059"/>
      <c r="N22" s="1048">
        <f>'Checklist - Ranking Ship Oil'!V147</f>
        <v>50</v>
      </c>
      <c r="O22" s="1049"/>
      <c r="P22" s="1050"/>
      <c r="Q22" s="1042">
        <f>'Checklist - Ranking Ship Oil'!F148</f>
        <v>50</v>
      </c>
      <c r="R22" s="1043"/>
      <c r="S22" s="1043"/>
      <c r="T22" s="1044"/>
      <c r="U22" s="946"/>
      <c r="V22" s="470"/>
      <c r="W22" s="296"/>
      <c r="X22" s="296"/>
      <c r="Y22" s="28"/>
      <c r="Z22" s="352"/>
      <c r="AA22" s="361"/>
      <c r="AB22" s="362" t="str">
        <f>IF(Q22=N22, IF(K22=N22,"a","s"),"")</f>
        <v>s</v>
      </c>
    </row>
    <row r="23" spans="1:28" s="701" customFormat="1" ht="27.95" customHeight="1" x14ac:dyDescent="0.2">
      <c r="A23" s="187"/>
      <c r="B23" s="473" t="str">
        <f>'Checklist - Ranking Ship Oil'!B149</f>
        <v>3101</v>
      </c>
      <c r="C23" s="826" t="str">
        <f>'Checklist - Ranking Ship Oil'!C149</f>
        <v>Bunker Operations - LNG</v>
      </c>
      <c r="D23" s="827"/>
      <c r="E23" s="827"/>
      <c r="F23" s="827"/>
      <c r="G23" s="827"/>
      <c r="H23" s="827"/>
      <c r="I23" s="827"/>
      <c r="J23" s="828"/>
      <c r="K23" s="1035">
        <f>'Checklist - Ranking Ship Oil'!U156</f>
        <v>0</v>
      </c>
      <c r="L23" s="1036"/>
      <c r="M23" s="1037"/>
      <c r="N23" s="1038">
        <f>'Checklist - Ranking Ship Oil'!V156</f>
        <v>50</v>
      </c>
      <c r="O23" s="1039"/>
      <c r="P23" s="1040"/>
      <c r="Q23" s="893">
        <f>'Checklist - Ranking Ship Oil'!F157</f>
        <v>25</v>
      </c>
      <c r="R23" s="894"/>
      <c r="S23" s="894"/>
      <c r="T23" s="1041"/>
      <c r="U23" s="971"/>
      <c r="V23" s="470"/>
      <c r="W23" s="296"/>
      <c r="X23" s="296"/>
      <c r="Y23" s="28"/>
      <c r="Z23" s="352"/>
      <c r="AA23" s="363"/>
      <c r="AB23" s="364" t="str">
        <f>IF(Q23=N23, IF(K23=N23,"a","s"),"")</f>
        <v/>
      </c>
    </row>
    <row r="24" spans="1:28" s="701" customFormat="1" ht="27.95" customHeight="1" thickBot="1" x14ac:dyDescent="0.25">
      <c r="A24" s="187"/>
      <c r="B24" s="319" t="str">
        <f>'Checklist - Ranking Ship Oil'!B158</f>
        <v>3200</v>
      </c>
      <c r="C24" s="826" t="str">
        <f>'Checklist - Ranking Ship Oil'!C158</f>
        <v>Fuel oil management</v>
      </c>
      <c r="D24" s="827"/>
      <c r="E24" s="827"/>
      <c r="F24" s="827"/>
      <c r="G24" s="827"/>
      <c r="H24" s="827"/>
      <c r="I24" s="827"/>
      <c r="J24" s="828"/>
      <c r="K24" s="1035">
        <f>'Checklist - Ranking Ship Oil'!U171</f>
        <v>0</v>
      </c>
      <c r="L24" s="1036"/>
      <c r="M24" s="1037"/>
      <c r="N24" s="1038">
        <f>'Checklist - Ranking Ship Oil'!V171</f>
        <v>80</v>
      </c>
      <c r="O24" s="1039"/>
      <c r="P24" s="1040"/>
      <c r="Q24" s="893">
        <f>'Checklist - Ranking Ship Oil'!F172</f>
        <v>40</v>
      </c>
      <c r="R24" s="894"/>
      <c r="S24" s="894"/>
      <c r="T24" s="1041"/>
      <c r="U24" s="971"/>
      <c r="V24" s="470"/>
      <c r="W24" s="296"/>
      <c r="X24" s="296"/>
      <c r="Y24" s="28"/>
      <c r="Z24" s="352"/>
      <c r="AA24" s="365"/>
      <c r="AB24" s="366" t="str">
        <f>IF(Q24=N24, IF(K24=N24,"a","s"),"")</f>
        <v/>
      </c>
    </row>
    <row r="25" spans="1:28" s="701" customFormat="1" ht="30" customHeight="1" thickBot="1" x14ac:dyDescent="0.25">
      <c r="A25" s="293"/>
      <c r="B25" s="327">
        <f>'Checklist - Ranking Ship Oil'!B173</f>
        <v>4000</v>
      </c>
      <c r="C25" s="1051" t="str">
        <f>'Checklist - Ranking Ship Oil'!C173</f>
        <v>CARGOES / CARGO OPERATIONS</v>
      </c>
      <c r="D25" s="1052"/>
      <c r="E25" s="1052"/>
      <c r="F25" s="1052"/>
      <c r="G25" s="1052"/>
      <c r="H25" s="1052"/>
      <c r="I25" s="1052"/>
      <c r="J25" s="1052"/>
      <c r="K25" s="788"/>
      <c r="L25" s="788"/>
      <c r="M25" s="788"/>
      <c r="N25" s="788"/>
      <c r="O25" s="788"/>
      <c r="P25" s="788"/>
      <c r="Q25" s="788"/>
      <c r="R25" s="788"/>
      <c r="S25" s="788"/>
      <c r="T25" s="788"/>
      <c r="U25" s="789"/>
      <c r="V25" s="471"/>
      <c r="W25" s="296"/>
      <c r="X25" s="296"/>
      <c r="Y25" s="28"/>
      <c r="Z25" s="352"/>
      <c r="AA25" s="28"/>
      <c r="AB25" s="28"/>
    </row>
    <row r="26" spans="1:28" s="701" customFormat="1" ht="27.95" customHeight="1" x14ac:dyDescent="0.2">
      <c r="A26" s="293"/>
      <c r="B26" s="310">
        <f>'Checklist - Ranking Ship Oil'!B174</f>
        <v>4100</v>
      </c>
      <c r="C26" s="884" t="str">
        <f>'Checklist - Ranking Ship Oil'!C174</f>
        <v>Oil Tanker Cargo Operations  &amp; Additional Green Award requirements</v>
      </c>
      <c r="D26" s="885"/>
      <c r="E26" s="885"/>
      <c r="F26" s="885"/>
      <c r="G26" s="885"/>
      <c r="H26" s="885"/>
      <c r="I26" s="885"/>
      <c r="J26" s="886"/>
      <c r="K26" s="1057">
        <f>'Checklist - Ranking Ship Oil'!U182</f>
        <v>0</v>
      </c>
      <c r="L26" s="1058"/>
      <c r="M26" s="1059"/>
      <c r="N26" s="1048">
        <f>'Checklist - Ranking Ship Oil'!V182</f>
        <v>80</v>
      </c>
      <c r="O26" s="1049"/>
      <c r="P26" s="1050"/>
      <c r="Q26" s="1042">
        <f>'Checklist - Ranking Ship Oil'!F183</f>
        <v>60</v>
      </c>
      <c r="R26" s="1043"/>
      <c r="S26" s="1043"/>
      <c r="T26" s="1044"/>
      <c r="U26" s="946"/>
      <c r="V26" s="470"/>
      <c r="W26" s="296"/>
      <c r="X26" s="296"/>
      <c r="Y26" s="28"/>
      <c r="Z26" s="352"/>
      <c r="AA26" s="361"/>
      <c r="AB26" s="362" t="str">
        <f>IF(Q26=N26, IF(K26=N26,"a","s"),"")</f>
        <v/>
      </c>
    </row>
    <row r="27" spans="1:28" s="701" customFormat="1" ht="27.95" customHeight="1" x14ac:dyDescent="0.2">
      <c r="A27" s="293"/>
      <c r="B27" s="319" t="str">
        <f>'Checklist - Ranking Ship Oil'!B184</f>
        <v>4200</v>
      </c>
      <c r="C27" s="826" t="str">
        <f>'Checklist - Ranking Ship Oil'!C184</f>
        <v xml:space="preserve">Ship to Ship Transfer Operations </v>
      </c>
      <c r="D27" s="827"/>
      <c r="E27" s="827"/>
      <c r="F27" s="827"/>
      <c r="G27" s="827"/>
      <c r="H27" s="827"/>
      <c r="I27" s="827"/>
      <c r="J27" s="828"/>
      <c r="K27" s="1035">
        <f>'Checklist - Ranking Ship Oil'!U190</f>
        <v>0</v>
      </c>
      <c r="L27" s="1036"/>
      <c r="M27" s="1037"/>
      <c r="N27" s="1038">
        <f>'Checklist - Ranking Ship Oil'!V190</f>
        <v>30</v>
      </c>
      <c r="O27" s="1039"/>
      <c r="P27" s="1040"/>
      <c r="Q27" s="893">
        <f>'Checklist - Ranking Ship Oil'!F191</f>
        <v>30</v>
      </c>
      <c r="R27" s="894"/>
      <c r="S27" s="894"/>
      <c r="T27" s="1041"/>
      <c r="U27" s="971"/>
      <c r="V27" s="470"/>
      <c r="W27" s="296"/>
      <c r="X27" s="296"/>
      <c r="Y27" s="28"/>
      <c r="Z27" s="352"/>
      <c r="AA27" s="363"/>
      <c r="AB27" s="364" t="str">
        <f>IF(Q27=N27, IF(K27=N27,"a","s"),"")</f>
        <v>s</v>
      </c>
    </row>
    <row r="28" spans="1:28" s="701" customFormat="1" ht="27.95" customHeight="1" x14ac:dyDescent="0.2">
      <c r="A28" s="293"/>
      <c r="B28" s="319">
        <f>'Checklist - Ranking Ship Oil'!B192</f>
        <v>4300</v>
      </c>
      <c r="C28" s="826" t="str">
        <f>'Checklist - Ranking Ship Oil'!C192</f>
        <v>Crude Oil Washing Operations</v>
      </c>
      <c r="D28" s="827"/>
      <c r="E28" s="827"/>
      <c r="F28" s="827"/>
      <c r="G28" s="827"/>
      <c r="H28" s="827"/>
      <c r="I28" s="827"/>
      <c r="J28" s="828"/>
      <c r="K28" s="1035">
        <f>'Checklist - Ranking Ship Oil'!U195</f>
        <v>0</v>
      </c>
      <c r="L28" s="1036"/>
      <c r="M28" s="1037"/>
      <c r="N28" s="1038">
        <f>'Checklist - Ranking Ship Oil'!V195</f>
        <v>30</v>
      </c>
      <c r="O28" s="1039"/>
      <c r="P28" s="1040"/>
      <c r="Q28" s="893">
        <f>'Checklist - Ranking Ship Oil'!F196</f>
        <v>30</v>
      </c>
      <c r="R28" s="894"/>
      <c r="S28" s="894"/>
      <c r="T28" s="1041"/>
      <c r="U28" s="971"/>
      <c r="V28" s="470"/>
      <c r="W28" s="296"/>
      <c r="X28" s="296"/>
      <c r="Y28" s="28"/>
      <c r="Z28" s="352"/>
      <c r="AA28" s="363"/>
      <c r="AB28" s="364" t="str">
        <f>IF(Q28=N28, IF(K28=N28,"a","s"),"")</f>
        <v>s</v>
      </c>
    </row>
    <row r="29" spans="1:28" s="701" customFormat="1" ht="27.95" customHeight="1" x14ac:dyDescent="0.2">
      <c r="A29" s="187"/>
      <c r="B29" s="319">
        <f>'Checklist - Ranking Ship Oil'!B197</f>
        <v>4400</v>
      </c>
      <c r="C29" s="826" t="str">
        <f>'Checklist - Ranking Ship Oil'!C197</f>
        <v>Additional Green Award Requirements (tank alarms, coatings, etc.)</v>
      </c>
      <c r="D29" s="827"/>
      <c r="E29" s="827"/>
      <c r="F29" s="827"/>
      <c r="G29" s="827"/>
      <c r="H29" s="827"/>
      <c r="I29" s="827"/>
      <c r="J29" s="828"/>
      <c r="K29" s="1035">
        <f>'Checklist - Ranking Ship Oil'!U208</f>
        <v>0</v>
      </c>
      <c r="L29" s="1036"/>
      <c r="M29" s="1037"/>
      <c r="N29" s="1038">
        <f>'Checklist - Ranking Ship Oil'!V208</f>
        <v>160</v>
      </c>
      <c r="O29" s="1039"/>
      <c r="P29" s="1040"/>
      <c r="Q29" s="893">
        <f>'Checklist - Ranking Ship Oil'!F209</f>
        <v>120</v>
      </c>
      <c r="R29" s="894"/>
      <c r="S29" s="894"/>
      <c r="T29" s="1041"/>
      <c r="U29" s="971"/>
      <c r="V29" s="470"/>
      <c r="W29" s="296"/>
      <c r="X29" s="296"/>
      <c r="Y29" s="28"/>
      <c r="Z29" s="352"/>
      <c r="AA29" s="363"/>
      <c r="AB29" s="364" t="str">
        <f>IF(Q29=N29, IF(K29=N29,"a","s"),"")</f>
        <v/>
      </c>
    </row>
    <row r="30" spans="1:28" s="701" customFormat="1" ht="27.95" customHeight="1" thickBot="1" x14ac:dyDescent="0.25">
      <c r="A30" s="293"/>
      <c r="B30" s="319">
        <f>'Checklist - Ranking Ship Oil'!B210</f>
        <v>4500</v>
      </c>
      <c r="C30" s="826" t="str">
        <f>'Checklist - Ranking Ship Oil'!C210</f>
        <v>Hull Stress Monitoring System</v>
      </c>
      <c r="D30" s="827"/>
      <c r="E30" s="827"/>
      <c r="F30" s="827"/>
      <c r="G30" s="827"/>
      <c r="H30" s="827"/>
      <c r="I30" s="827"/>
      <c r="J30" s="828"/>
      <c r="K30" s="1035">
        <f>'Checklist - Ranking Ship Oil'!U212</f>
        <v>0</v>
      </c>
      <c r="L30" s="1036"/>
      <c r="M30" s="1037"/>
      <c r="N30" s="1038">
        <f>'Checklist - Ranking Ship Oil'!V212</f>
        <v>20</v>
      </c>
      <c r="O30" s="1039"/>
      <c r="P30" s="1040"/>
      <c r="Q30" s="893">
        <f>'Checklist - Ranking Ship Oil'!F213</f>
        <v>0</v>
      </c>
      <c r="R30" s="894"/>
      <c r="S30" s="894"/>
      <c r="T30" s="1041"/>
      <c r="U30" s="971"/>
      <c r="V30" s="470"/>
      <c r="W30" s="296"/>
      <c r="X30" s="296"/>
      <c r="Y30" s="28"/>
      <c r="Z30" s="352"/>
      <c r="AA30" s="365"/>
      <c r="AB30" s="366" t="str">
        <f>IF(Q30=N30, IF(K30=N30,"a","s"),"")</f>
        <v/>
      </c>
    </row>
    <row r="31" spans="1:28" s="701" customFormat="1" ht="30" customHeight="1" thickBot="1" x14ac:dyDescent="0.25">
      <c r="A31" s="293"/>
      <c r="B31" s="327">
        <f>'Checklist - Ranking Ship Oil'!B214</f>
        <v>5000</v>
      </c>
      <c r="C31" s="1051" t="str">
        <f>'Checklist - Ranking Ship Oil'!C214</f>
        <v xml:space="preserve">PREVENTION OF POLLUTION </v>
      </c>
      <c r="D31" s="1052"/>
      <c r="E31" s="1052"/>
      <c r="F31" s="1052"/>
      <c r="G31" s="1052"/>
      <c r="H31" s="1052"/>
      <c r="I31" s="1052"/>
      <c r="J31" s="1052"/>
      <c r="K31" s="788"/>
      <c r="L31" s="788"/>
      <c r="M31" s="788"/>
      <c r="N31" s="788"/>
      <c r="O31" s="788"/>
      <c r="P31" s="788"/>
      <c r="Q31" s="788"/>
      <c r="R31" s="788"/>
      <c r="S31" s="788"/>
      <c r="T31" s="788"/>
      <c r="U31" s="789"/>
      <c r="V31" s="471"/>
      <c r="W31" s="296"/>
      <c r="X31" s="296"/>
      <c r="Y31" s="28"/>
      <c r="Z31" s="352"/>
      <c r="AA31" s="28"/>
      <c r="AB31" s="28"/>
    </row>
    <row r="32" spans="1:28" s="701" customFormat="1" ht="27.95" customHeight="1" thickBot="1" x14ac:dyDescent="0.25">
      <c r="A32" s="187"/>
      <c r="B32" s="540" t="str">
        <f>'Checklist - Ranking Ship Oil'!B215</f>
        <v>5100</v>
      </c>
      <c r="C32" s="884" t="str">
        <f>'Checklist - Ranking Ship Oil'!C215</f>
        <v>Biofouling Management</v>
      </c>
      <c r="D32" s="885"/>
      <c r="E32" s="885"/>
      <c r="F32" s="885"/>
      <c r="G32" s="885"/>
      <c r="H32" s="885"/>
      <c r="I32" s="885"/>
      <c r="J32" s="886"/>
      <c r="K32" s="1057">
        <f>'Checklist - Ranking Ship Oil'!U220</f>
        <v>0</v>
      </c>
      <c r="L32" s="1058"/>
      <c r="M32" s="1059"/>
      <c r="N32" s="1048">
        <f>'Checklist - Ranking Ship Oil'!V220</f>
        <v>30</v>
      </c>
      <c r="O32" s="1049"/>
      <c r="P32" s="1050"/>
      <c r="Q32" s="1042">
        <f>'Checklist - Ranking Ship Oil'!F221</f>
        <v>5</v>
      </c>
      <c r="R32" s="1043"/>
      <c r="S32" s="1043"/>
      <c r="T32" s="1044"/>
      <c r="U32" s="946"/>
      <c r="V32" s="470"/>
      <c r="W32" s="296"/>
      <c r="X32" s="296"/>
      <c r="Y32" s="28"/>
      <c r="Z32" s="352"/>
      <c r="AA32" s="361"/>
      <c r="AB32" s="362" t="str">
        <f t="shared" ref="AB32" si="5">IF(Q32=N32, IF(K32=N32,"a","s"),"")</f>
        <v/>
      </c>
    </row>
    <row r="33" spans="1:28" s="701" customFormat="1" ht="27.95" customHeight="1" x14ac:dyDescent="0.2">
      <c r="A33" s="187"/>
      <c r="B33" s="540" t="str">
        <f>'Checklist - Ranking Ship Oil'!B222</f>
        <v>5200</v>
      </c>
      <c r="C33" s="884" t="str">
        <f>'Checklist - Ranking Ship Oil'!C222</f>
        <v>Waste Management / Garbage Handling Onboard</v>
      </c>
      <c r="D33" s="885"/>
      <c r="E33" s="885"/>
      <c r="F33" s="885"/>
      <c r="G33" s="885"/>
      <c r="H33" s="885"/>
      <c r="I33" s="885"/>
      <c r="J33" s="886"/>
      <c r="K33" s="1057">
        <f>'Checklist - Ranking Ship Oil'!U250</f>
        <v>0</v>
      </c>
      <c r="L33" s="1058"/>
      <c r="M33" s="1059"/>
      <c r="N33" s="1048">
        <f>'Checklist - Ranking Ship Oil'!V250</f>
        <v>125</v>
      </c>
      <c r="O33" s="1049"/>
      <c r="P33" s="1050"/>
      <c r="Q33" s="1042">
        <f>'Checklist - Ranking Ship Oil'!F251</f>
        <v>50</v>
      </c>
      <c r="R33" s="1043"/>
      <c r="S33" s="1043"/>
      <c r="T33" s="1044"/>
      <c r="U33" s="946"/>
      <c r="V33" s="470"/>
      <c r="W33" s="296"/>
      <c r="X33" s="296"/>
      <c r="Y33" s="28"/>
      <c r="Z33" s="352"/>
      <c r="AA33" s="361"/>
      <c r="AB33" s="362" t="str">
        <f t="shared" ref="AB33:AB46" si="6">IF(Q33=N33, IF(K33=N33,"a","s"),"")</f>
        <v/>
      </c>
    </row>
    <row r="34" spans="1:28" s="701" customFormat="1" ht="27.95" customHeight="1" x14ac:dyDescent="0.2">
      <c r="A34" s="187"/>
      <c r="B34" s="473">
        <f>'Checklist - Ranking Ship Oil'!B252</f>
        <v>5300</v>
      </c>
      <c r="C34" s="826" t="str">
        <f>'Checklist - Ranking Ship Oil'!C252</f>
        <v xml:space="preserve">Vapour Emission Control Systems  </v>
      </c>
      <c r="D34" s="827"/>
      <c r="E34" s="827"/>
      <c r="F34" s="827"/>
      <c r="G34" s="827"/>
      <c r="H34" s="827"/>
      <c r="I34" s="827"/>
      <c r="J34" s="828"/>
      <c r="K34" s="1035">
        <f>'Checklist - Ranking Ship Oil'!U260</f>
        <v>0</v>
      </c>
      <c r="L34" s="1036"/>
      <c r="M34" s="1037"/>
      <c r="N34" s="1038">
        <f>'Checklist - Ranking Ship Oil'!V260</f>
        <v>120</v>
      </c>
      <c r="O34" s="1039"/>
      <c r="P34" s="1040"/>
      <c r="Q34" s="893">
        <f>'Checklist - Ranking Ship Oil'!F261</f>
        <v>0</v>
      </c>
      <c r="R34" s="894"/>
      <c r="S34" s="894"/>
      <c r="T34" s="1041"/>
      <c r="U34" s="971"/>
      <c r="V34" s="470"/>
      <c r="W34" s="296"/>
      <c r="X34" s="296"/>
      <c r="Y34" s="28"/>
      <c r="Z34" s="352"/>
      <c r="AA34" s="363"/>
      <c r="AB34" s="364" t="str">
        <f t="shared" si="6"/>
        <v/>
      </c>
    </row>
    <row r="35" spans="1:28" s="701" customFormat="1" ht="27.95" customHeight="1" x14ac:dyDescent="0.2">
      <c r="A35" s="187"/>
      <c r="B35" s="319" t="str">
        <f>'Checklist - Ranking Ship Oil'!B262</f>
        <v>5410</v>
      </c>
      <c r="C35" s="826" t="str">
        <f>'Checklist - Ranking Ship Oil'!C262</f>
        <v>NOx Emissions</v>
      </c>
      <c r="D35" s="827"/>
      <c r="E35" s="827"/>
      <c r="F35" s="827"/>
      <c r="G35" s="827"/>
      <c r="H35" s="827"/>
      <c r="I35" s="827"/>
      <c r="J35" s="828"/>
      <c r="K35" s="1035">
        <f>'Checklist - Ranking Ship Oil'!U285</f>
        <v>0</v>
      </c>
      <c r="L35" s="1036"/>
      <c r="M35" s="1037"/>
      <c r="N35" s="1038">
        <f>'Checklist - Ranking Ship Oil'!V285</f>
        <v>140</v>
      </c>
      <c r="O35" s="1039"/>
      <c r="P35" s="1040"/>
      <c r="Q35" s="893">
        <f>'Checklist - Ranking Ship Oil'!F286</f>
        <v>35</v>
      </c>
      <c r="R35" s="894"/>
      <c r="S35" s="894"/>
      <c r="T35" s="1041"/>
      <c r="U35" s="971"/>
      <c r="V35" s="470"/>
      <c r="W35" s="296"/>
      <c r="X35" s="296"/>
      <c r="Y35" s="28"/>
      <c r="Z35" s="352"/>
      <c r="AA35" s="363"/>
      <c r="AB35" s="364" t="str">
        <f t="shared" si="6"/>
        <v/>
      </c>
    </row>
    <row r="36" spans="1:28" s="701" customFormat="1" ht="27.95" customHeight="1" x14ac:dyDescent="0.2">
      <c r="A36" s="187"/>
      <c r="B36" s="319">
        <f>'Checklist - Ranking Ship Oil'!B287</f>
        <v>5420</v>
      </c>
      <c r="C36" s="826" t="str">
        <f>'Checklist - Ranking Ship Oil'!C287</f>
        <v>SOx Emissions</v>
      </c>
      <c r="D36" s="827"/>
      <c r="E36" s="827"/>
      <c r="F36" s="827"/>
      <c r="G36" s="827"/>
      <c r="H36" s="827"/>
      <c r="I36" s="827"/>
      <c r="J36" s="828"/>
      <c r="K36" s="1035">
        <f>'Checklist - Ranking Ship Oil'!U301</f>
        <v>0</v>
      </c>
      <c r="L36" s="1036"/>
      <c r="M36" s="1037"/>
      <c r="N36" s="1038">
        <f>'Checklist - Ranking Ship Oil'!V301</f>
        <v>105</v>
      </c>
      <c r="O36" s="1039"/>
      <c r="P36" s="1040"/>
      <c r="Q36" s="893">
        <f>'Checklist - Ranking Ship Oil'!F302</f>
        <v>15</v>
      </c>
      <c r="R36" s="894"/>
      <c r="S36" s="894"/>
      <c r="T36" s="1041"/>
      <c r="U36" s="971"/>
      <c r="V36" s="470"/>
      <c r="W36" s="296"/>
      <c r="X36" s="296"/>
      <c r="Y36" s="28"/>
      <c r="Z36" s="352"/>
      <c r="AA36" s="363"/>
      <c r="AB36" s="364" t="str">
        <f t="shared" si="6"/>
        <v/>
      </c>
    </row>
    <row r="37" spans="1:28" s="701" customFormat="1" ht="45" customHeight="1" x14ac:dyDescent="0.2">
      <c r="A37" s="468"/>
      <c r="B37" s="334">
        <f>'Checklist - Ranking Ship Oil'!B303</f>
        <v>5421</v>
      </c>
      <c r="C37" s="826" t="str">
        <f>'Checklist - Ranking Ship Oil'!C303</f>
        <v>Ships required to carry out Fuel Change Over to low sulphur Marine Diesel Oil or low sulphur Marine Gas Oil  (low sulphur Distillates)</v>
      </c>
      <c r="D37" s="827"/>
      <c r="E37" s="827"/>
      <c r="F37" s="827"/>
      <c r="G37" s="827"/>
      <c r="H37" s="827"/>
      <c r="I37" s="827"/>
      <c r="J37" s="828"/>
      <c r="K37" s="1035">
        <f>'Checklist - Ranking Ship Oil'!U311</f>
        <v>0</v>
      </c>
      <c r="L37" s="1036"/>
      <c r="M37" s="1037"/>
      <c r="N37" s="1038">
        <f>'Checklist - Ranking Ship Oil'!V311</f>
        <v>75</v>
      </c>
      <c r="O37" s="1039"/>
      <c r="P37" s="1040"/>
      <c r="Q37" s="893">
        <f>'Checklist - Ranking Ship Oil'!F312</f>
        <v>55</v>
      </c>
      <c r="R37" s="894"/>
      <c r="S37" s="894"/>
      <c r="T37" s="1041"/>
      <c r="U37" s="971"/>
      <c r="V37" s="470"/>
      <c r="W37" s="296"/>
      <c r="X37" s="296"/>
      <c r="Y37" s="28"/>
      <c r="Z37" s="352"/>
      <c r="AA37" s="363"/>
      <c r="AB37" s="364" t="str">
        <f t="shared" si="6"/>
        <v/>
      </c>
    </row>
    <row r="38" spans="1:28" s="701" customFormat="1" ht="27.95" customHeight="1" x14ac:dyDescent="0.2">
      <c r="A38" s="187"/>
      <c r="B38" s="324" t="str">
        <f>'Checklist - Ranking Ship Oil'!B313</f>
        <v>5430</v>
      </c>
      <c r="C38" s="826" t="str">
        <f>'Checklist - Ranking Ship Oil'!C313</f>
        <v>Particulate Matter (PM) Emissions</v>
      </c>
      <c r="D38" s="827"/>
      <c r="E38" s="827"/>
      <c r="F38" s="827"/>
      <c r="G38" s="827"/>
      <c r="H38" s="827"/>
      <c r="I38" s="827"/>
      <c r="J38" s="828"/>
      <c r="K38" s="1035">
        <f>'Checklist - Ranking Ship Oil'!U317</f>
        <v>0</v>
      </c>
      <c r="L38" s="1036"/>
      <c r="M38" s="1037"/>
      <c r="N38" s="1038">
        <f>'Checklist - Ranking Ship Oil'!V317</f>
        <v>30</v>
      </c>
      <c r="O38" s="1039"/>
      <c r="P38" s="1040"/>
      <c r="Q38" s="893">
        <f>'Checklist - Ranking Ship Oil'!F318</f>
        <v>0</v>
      </c>
      <c r="R38" s="894"/>
      <c r="S38" s="894"/>
      <c r="T38" s="1041"/>
      <c r="U38" s="971"/>
      <c r="V38" s="470"/>
      <c r="W38" s="296"/>
      <c r="X38" s="296"/>
      <c r="Y38" s="28"/>
      <c r="Z38" s="352"/>
      <c r="AA38" s="363"/>
      <c r="AB38" s="364" t="str">
        <f t="shared" si="6"/>
        <v/>
      </c>
    </row>
    <row r="39" spans="1:28" s="701" customFormat="1" ht="27.95" customHeight="1" x14ac:dyDescent="0.2">
      <c r="A39" s="187"/>
      <c r="B39" s="324">
        <f>'Checklist - Ranking Ship Oil'!B319</f>
        <v>5440</v>
      </c>
      <c r="C39" s="826" t="str">
        <f>'Checklist - Ranking Ship Oil'!C319</f>
        <v>Greenhouse Gas (GHG) Emissions - CO2 Emissions</v>
      </c>
      <c r="D39" s="827"/>
      <c r="E39" s="827"/>
      <c r="F39" s="827"/>
      <c r="G39" s="827"/>
      <c r="H39" s="827"/>
      <c r="I39" s="827"/>
      <c r="J39" s="828"/>
      <c r="K39" s="1035">
        <f>'Checklist - Ranking Ship Oil'!U387</f>
        <v>0</v>
      </c>
      <c r="L39" s="1036"/>
      <c r="M39" s="1037"/>
      <c r="N39" s="1038">
        <f>'Checklist - Ranking Ship Oil'!V387</f>
        <v>155</v>
      </c>
      <c r="O39" s="1039"/>
      <c r="P39" s="1040"/>
      <c r="Q39" s="893">
        <f>'Checklist - Ranking Ship Oil'!F388</f>
        <v>15</v>
      </c>
      <c r="R39" s="894"/>
      <c r="S39" s="894"/>
      <c r="T39" s="1041"/>
      <c r="U39" s="971"/>
      <c r="V39" s="470"/>
      <c r="W39" s="296"/>
      <c r="X39" s="296"/>
      <c r="Y39" s="28"/>
      <c r="Z39" s="352"/>
      <c r="AA39" s="363"/>
      <c r="AB39" s="364" t="str">
        <f t="shared" si="6"/>
        <v/>
      </c>
    </row>
    <row r="40" spans="1:28" s="701" customFormat="1" ht="27.95" customHeight="1" x14ac:dyDescent="0.2">
      <c r="A40" s="187"/>
      <c r="B40" s="324" t="str">
        <f>'Checklist - Ranking Ship Oil'!B389</f>
        <v>5441</v>
      </c>
      <c r="C40" s="826" t="str">
        <f>'Checklist - Ranking Ship Oil'!C389</f>
        <v>Greenhouse Gas (GHG) Emissions - Methane (CH4) Emissions - Main Propulsion</v>
      </c>
      <c r="D40" s="827"/>
      <c r="E40" s="827"/>
      <c r="F40" s="827"/>
      <c r="G40" s="827"/>
      <c r="H40" s="827"/>
      <c r="I40" s="827"/>
      <c r="J40" s="828"/>
      <c r="K40" s="1035">
        <f>'Checklist - Ranking Ship Oil'!U399</f>
        <v>0</v>
      </c>
      <c r="L40" s="1036"/>
      <c r="M40" s="1037"/>
      <c r="N40" s="1038">
        <f>'Checklist - Ranking Ship Oil'!V399</f>
        <v>35</v>
      </c>
      <c r="O40" s="1039"/>
      <c r="P40" s="1040"/>
      <c r="Q40" s="893">
        <f>'Checklist - Ranking Ship Oil'!F400</f>
        <v>0</v>
      </c>
      <c r="R40" s="894"/>
      <c r="S40" s="894"/>
      <c r="T40" s="1041"/>
      <c r="U40" s="971"/>
      <c r="V40" s="470"/>
      <c r="W40" s="296"/>
      <c r="X40" s="296"/>
      <c r="Y40" s="28"/>
      <c r="Z40" s="352"/>
      <c r="AA40" s="363"/>
      <c r="AB40" s="364" t="str">
        <f t="shared" ref="AB40" si="7">IF(Q40=N40, IF(K40=N40,"a","s"),"")</f>
        <v/>
      </c>
    </row>
    <row r="41" spans="1:28" s="701" customFormat="1" ht="27.95" customHeight="1" x14ac:dyDescent="0.2">
      <c r="A41" s="187"/>
      <c r="B41" s="324" t="str">
        <f>'Checklist - Ranking Ship Oil'!B401</f>
        <v>5460</v>
      </c>
      <c r="C41" s="826" t="str">
        <f>'Checklist - Ranking Ship Oil'!C401</f>
        <v>Environmental Ship Index (ESI)</v>
      </c>
      <c r="D41" s="827"/>
      <c r="E41" s="827"/>
      <c r="F41" s="827"/>
      <c r="G41" s="827"/>
      <c r="H41" s="827"/>
      <c r="I41" s="827"/>
      <c r="J41" s="828"/>
      <c r="K41" s="1035">
        <f>'Checklist - Ranking Ship Oil'!U405</f>
        <v>0</v>
      </c>
      <c r="L41" s="1036"/>
      <c r="M41" s="1037"/>
      <c r="N41" s="1038">
        <f>'Checklist - Ranking Ship Oil'!V405</f>
        <v>60</v>
      </c>
      <c r="O41" s="1039"/>
      <c r="P41" s="1040"/>
      <c r="Q41" s="893">
        <f>'Checklist - Ranking Ship Oil'!F406</f>
        <v>0</v>
      </c>
      <c r="R41" s="894"/>
      <c r="S41" s="894"/>
      <c r="T41" s="1041"/>
      <c r="U41" s="971"/>
      <c r="V41" s="470"/>
      <c r="W41" s="296"/>
      <c r="X41" s="296"/>
      <c r="Y41" s="28"/>
      <c r="Z41" s="352"/>
      <c r="AA41" s="363"/>
      <c r="AB41" s="364" t="str">
        <f t="shared" si="6"/>
        <v/>
      </c>
    </row>
    <row r="42" spans="1:28" s="701" customFormat="1" ht="27.95" customHeight="1" x14ac:dyDescent="0.2">
      <c r="A42" s="187"/>
      <c r="B42" s="541" t="str">
        <f>'Checklist - Ranking Ship Oil'!B407</f>
        <v>5500</v>
      </c>
      <c r="C42" s="826" t="str">
        <f>'Checklist - Ranking Ship Oil'!C407</f>
        <v>Sewage Management</v>
      </c>
      <c r="D42" s="827"/>
      <c r="E42" s="827"/>
      <c r="F42" s="827"/>
      <c r="G42" s="827"/>
      <c r="H42" s="827"/>
      <c r="I42" s="827"/>
      <c r="J42" s="828"/>
      <c r="K42" s="1035">
        <f>'Checklist - Ranking Ship Oil'!U421</f>
        <v>0</v>
      </c>
      <c r="L42" s="1036"/>
      <c r="M42" s="1037"/>
      <c r="N42" s="1038">
        <f>'Checklist - Ranking Ship Oil'!V421</f>
        <v>45</v>
      </c>
      <c r="O42" s="1039"/>
      <c r="P42" s="1040"/>
      <c r="Q42" s="893">
        <f>'Checklist - Ranking Ship Oil'!F422</f>
        <v>20</v>
      </c>
      <c r="R42" s="894"/>
      <c r="S42" s="894"/>
      <c r="T42" s="1041"/>
      <c r="U42" s="971"/>
      <c r="V42" s="470"/>
      <c r="W42" s="296"/>
      <c r="X42" s="296"/>
      <c r="Y42" s="28"/>
      <c r="Z42" s="352"/>
      <c r="AA42" s="363"/>
      <c r="AB42" s="364" t="str">
        <f t="shared" ref="AB42" si="8">IF(Q42=N42, IF(K42=N42,"a","s"),"")</f>
        <v/>
      </c>
    </row>
    <row r="43" spans="1:28" s="701" customFormat="1" ht="27.95" customHeight="1" x14ac:dyDescent="0.2">
      <c r="A43" s="187"/>
      <c r="B43" s="541" t="str">
        <f>'Checklist - Ranking Ship Oil'!B423</f>
        <v>5510</v>
      </c>
      <c r="C43" s="826" t="str">
        <f>'Checklist - Ranking Ship Oil'!C423</f>
        <v>Grey Water Management</v>
      </c>
      <c r="D43" s="827"/>
      <c r="E43" s="827"/>
      <c r="F43" s="827"/>
      <c r="G43" s="827"/>
      <c r="H43" s="827"/>
      <c r="I43" s="827"/>
      <c r="J43" s="828"/>
      <c r="K43" s="1035">
        <f>'Checklist - Ranking Ship Oil'!U426</f>
        <v>0</v>
      </c>
      <c r="L43" s="1036"/>
      <c r="M43" s="1037"/>
      <c r="N43" s="1038">
        <f>'Checklist - Ranking Ship Oil'!V426</f>
        <v>25</v>
      </c>
      <c r="O43" s="1039"/>
      <c r="P43" s="1040"/>
      <c r="Q43" s="893">
        <f>'Checklist - Ranking Ship Oil'!F427</f>
        <v>0</v>
      </c>
      <c r="R43" s="894"/>
      <c r="S43" s="894"/>
      <c r="T43" s="1041"/>
      <c r="U43" s="971"/>
      <c r="V43" s="470"/>
      <c r="W43" s="296"/>
      <c r="X43" s="296"/>
      <c r="Y43" s="28"/>
      <c r="Z43" s="352"/>
      <c r="AA43" s="363"/>
      <c r="AB43" s="364" t="str">
        <f t="shared" ref="AB43" si="9">IF(Q43=N43, IF(K43=N43,"a","s"),"")</f>
        <v/>
      </c>
    </row>
    <row r="44" spans="1:28" s="701" customFormat="1" ht="27.95" customHeight="1" x14ac:dyDescent="0.2">
      <c r="A44" s="187"/>
      <c r="B44" s="324">
        <f>'Checklist - Ranking Ship Oil'!B428</f>
        <v>5600</v>
      </c>
      <c r="C44" s="826" t="str">
        <f>'Checklist - Ranking Ship Oil'!C428</f>
        <v xml:space="preserve">Prevention of Oil Spillage through Cargo Pumproom Sea Valves </v>
      </c>
      <c r="D44" s="827"/>
      <c r="E44" s="827"/>
      <c r="F44" s="827"/>
      <c r="G44" s="827"/>
      <c r="H44" s="827"/>
      <c r="I44" s="827"/>
      <c r="J44" s="828"/>
      <c r="K44" s="1035">
        <f>'Checklist - Ranking Ship Oil'!U432</f>
        <v>0</v>
      </c>
      <c r="L44" s="1036"/>
      <c r="M44" s="1037"/>
      <c r="N44" s="1038">
        <f>'Checklist - Ranking Ship Oil'!V432</f>
        <v>20</v>
      </c>
      <c r="O44" s="1039"/>
      <c r="P44" s="1040"/>
      <c r="Q44" s="893">
        <f>'Checklist - Ranking Ship Oil'!F433</f>
        <v>20</v>
      </c>
      <c r="R44" s="894"/>
      <c r="S44" s="894"/>
      <c r="T44" s="1041"/>
      <c r="U44" s="971"/>
      <c r="V44" s="470"/>
      <c r="W44" s="296"/>
      <c r="X44" s="296"/>
      <c r="Y44" s="28"/>
      <c r="Z44" s="352"/>
      <c r="AA44" s="363"/>
      <c r="AB44" s="364" t="str">
        <f t="shared" si="6"/>
        <v>s</v>
      </c>
    </row>
    <row r="45" spans="1:28" s="701" customFormat="1" ht="27.95" customHeight="1" thickBot="1" x14ac:dyDescent="0.25">
      <c r="A45" s="187"/>
      <c r="B45" s="326">
        <f>'Checklist - Ranking Ship Oil'!B434</f>
        <v>5700</v>
      </c>
      <c r="C45" s="887" t="str">
        <f>'Checklist - Ranking Ship Oil'!C434</f>
        <v xml:space="preserve">Ballast Water Management </v>
      </c>
      <c r="D45" s="888"/>
      <c r="E45" s="888"/>
      <c r="F45" s="888"/>
      <c r="G45" s="888"/>
      <c r="H45" s="888"/>
      <c r="I45" s="888"/>
      <c r="J45" s="889"/>
      <c r="K45" s="1045">
        <f>'Checklist - Ranking Ship Oil'!U448</f>
        <v>0</v>
      </c>
      <c r="L45" s="1046"/>
      <c r="M45" s="1047"/>
      <c r="N45" s="1077">
        <f>'Checklist - Ranking Ship Oil'!V448</f>
        <v>85</v>
      </c>
      <c r="O45" s="1078"/>
      <c r="P45" s="1079"/>
      <c r="Q45" s="1087">
        <f>'Checklist - Ranking Ship Oil'!F449</f>
        <v>50</v>
      </c>
      <c r="R45" s="1088"/>
      <c r="S45" s="1088"/>
      <c r="T45" s="1089"/>
      <c r="U45" s="1090"/>
      <c r="V45" s="470"/>
      <c r="W45" s="296"/>
      <c r="X45" s="296"/>
      <c r="Y45" s="28"/>
      <c r="Z45" s="352"/>
      <c r="AA45" s="363"/>
      <c r="AB45" s="364" t="str">
        <f t="shared" si="6"/>
        <v/>
      </c>
    </row>
    <row r="46" spans="1:28" s="701" customFormat="1" ht="27.95" customHeight="1" x14ac:dyDescent="0.2">
      <c r="A46" s="187"/>
      <c r="B46" s="310" t="str">
        <f>'Checklist - Ranking Ship Oil'!B450</f>
        <v>5800</v>
      </c>
      <c r="C46" s="884" t="str">
        <f>'Checklist - Ranking Ship Oil'!C450</f>
        <v>Accidental Bunker Oil Pollution Prevention Measures (overflow prevention systems)</v>
      </c>
      <c r="D46" s="885"/>
      <c r="E46" s="885"/>
      <c r="F46" s="885"/>
      <c r="G46" s="885"/>
      <c r="H46" s="885"/>
      <c r="I46" s="885"/>
      <c r="J46" s="886"/>
      <c r="K46" s="1057">
        <f>'Checklist - Ranking Ship Oil'!U455</f>
        <v>0</v>
      </c>
      <c r="L46" s="1058"/>
      <c r="M46" s="1059"/>
      <c r="N46" s="1048">
        <f>'Checklist - Ranking Ship Oil'!V455</f>
        <v>30</v>
      </c>
      <c r="O46" s="1049"/>
      <c r="P46" s="1050"/>
      <c r="Q46" s="1042">
        <f>'Checklist - Ranking Ship Oil'!F456</f>
        <v>5</v>
      </c>
      <c r="R46" s="1043"/>
      <c r="S46" s="1043"/>
      <c r="T46" s="1044"/>
      <c r="U46" s="946"/>
      <c r="V46" s="470"/>
      <c r="W46" s="296"/>
      <c r="X46" s="296"/>
      <c r="Y46" s="28"/>
      <c r="Z46" s="352"/>
      <c r="AA46" s="363"/>
      <c r="AB46" s="364" t="str">
        <f t="shared" si="6"/>
        <v/>
      </c>
    </row>
    <row r="47" spans="1:28" s="701" customFormat="1" ht="27.95" customHeight="1" x14ac:dyDescent="0.2">
      <c r="A47" s="187"/>
      <c r="B47" s="319" t="str">
        <f>'Checklist - Ranking Ship Oil'!B457</f>
        <v>5801</v>
      </c>
      <c r="C47" s="826" t="str">
        <f>'Checklist - Ranking Ship Oil'!C457</f>
        <v>Protection of fuel oil tanks, lube oil tanks and hull</v>
      </c>
      <c r="D47" s="827"/>
      <c r="E47" s="827"/>
      <c r="F47" s="827"/>
      <c r="G47" s="827"/>
      <c r="H47" s="827"/>
      <c r="I47" s="827"/>
      <c r="J47" s="828"/>
      <c r="K47" s="1035">
        <f>'Checklist - Ranking Ship Oil'!U462</f>
        <v>0</v>
      </c>
      <c r="L47" s="1036"/>
      <c r="M47" s="1037"/>
      <c r="N47" s="1038">
        <f>'Checklist - Ranking Ship Oil'!V462</f>
        <v>100</v>
      </c>
      <c r="O47" s="1039"/>
      <c r="P47" s="1040"/>
      <c r="Q47" s="893">
        <f>'Checklist - Ranking Ship Oil'!F463</f>
        <v>20</v>
      </c>
      <c r="R47" s="894"/>
      <c r="S47" s="894"/>
      <c r="T47" s="1041"/>
      <c r="U47" s="971"/>
      <c r="V47" s="470"/>
      <c r="W47" s="296"/>
      <c r="X47" s="296"/>
      <c r="Y47" s="28"/>
      <c r="Z47" s="352"/>
      <c r="AA47" s="363"/>
      <c r="AB47" s="364" t="str">
        <f t="shared" ref="AB47:AB52" si="10">IF(Q47=N47, IF(K47=N47,"a","s"),"")</f>
        <v/>
      </c>
    </row>
    <row r="48" spans="1:28" s="701" customFormat="1" ht="27.95" customHeight="1" x14ac:dyDescent="0.2">
      <c r="A48" s="187"/>
      <c r="B48" s="319">
        <f>'Checklist - Ranking Ship Oil'!B465</f>
        <v>5810</v>
      </c>
      <c r="C48" s="826" t="str">
        <f>'Checklist - Ranking Ship Oil'!C465</f>
        <v>Stern tube lubrication</v>
      </c>
      <c r="D48" s="827"/>
      <c r="E48" s="827"/>
      <c r="F48" s="827"/>
      <c r="G48" s="827"/>
      <c r="H48" s="827"/>
      <c r="I48" s="827"/>
      <c r="J48" s="828"/>
      <c r="K48" s="1035">
        <f>'Checklist - Ranking Ship Oil'!U471</f>
        <v>0</v>
      </c>
      <c r="L48" s="1036"/>
      <c r="M48" s="1037"/>
      <c r="N48" s="1038">
        <f>'Checklist - Ranking Ship Oil'!V471</f>
        <v>60</v>
      </c>
      <c r="O48" s="1039"/>
      <c r="P48" s="1040"/>
      <c r="Q48" s="893">
        <f>'Checklist - Ranking Ship Oil'!F472</f>
        <v>15</v>
      </c>
      <c r="R48" s="894"/>
      <c r="S48" s="894"/>
      <c r="T48" s="1041"/>
      <c r="U48" s="971"/>
      <c r="V48" s="470"/>
      <c r="W48" s="296"/>
      <c r="X48" s="296"/>
      <c r="Y48" s="28"/>
      <c r="Z48" s="352"/>
      <c r="AA48" s="363"/>
      <c r="AB48" s="364" t="str">
        <f t="shared" si="10"/>
        <v/>
      </c>
    </row>
    <row r="49" spans="1:28" s="701" customFormat="1" ht="27.95" customHeight="1" x14ac:dyDescent="0.2">
      <c r="A49" s="187"/>
      <c r="B49" s="78">
        <f>'Checklist - Ranking Ship Oil'!B473</f>
        <v>5811</v>
      </c>
      <c r="C49" s="884" t="str">
        <f>'Checklist - Ranking Ship Oil'!C473</f>
        <v>Mooring wire lubrication</v>
      </c>
      <c r="D49" s="885"/>
      <c r="E49" s="885"/>
      <c r="F49" s="885"/>
      <c r="G49" s="885"/>
      <c r="H49" s="885"/>
      <c r="I49" s="885"/>
      <c r="J49" s="886"/>
      <c r="K49" s="1057">
        <f>'Checklist - Ranking Ship Oil'!U475</f>
        <v>0</v>
      </c>
      <c r="L49" s="1058"/>
      <c r="M49" s="1059"/>
      <c r="N49" s="1048">
        <f>'Checklist - Ranking Ship Oil'!V475</f>
        <v>20</v>
      </c>
      <c r="O49" s="1049"/>
      <c r="P49" s="1050"/>
      <c r="Q49" s="1042">
        <f>'Checklist - Ranking Ship Oil'!F476</f>
        <v>0</v>
      </c>
      <c r="R49" s="1043"/>
      <c r="S49" s="1043"/>
      <c r="T49" s="1044"/>
      <c r="U49" s="946"/>
      <c r="V49" s="470"/>
      <c r="W49" s="296"/>
      <c r="X49" s="296"/>
      <c r="Y49" s="28"/>
      <c r="Z49" s="352"/>
      <c r="AA49" s="363"/>
      <c r="AB49" s="364" t="str">
        <f t="shared" si="10"/>
        <v/>
      </c>
    </row>
    <row r="50" spans="1:28" s="701" customFormat="1" ht="27.95" customHeight="1" x14ac:dyDescent="0.2">
      <c r="A50" s="187"/>
      <c r="B50" s="319">
        <f>'Checklist - Ranking Ship Oil'!B477</f>
        <v>5812</v>
      </c>
      <c r="C50" s="826" t="str">
        <f>'Checklist - Ranking Ship Oil'!C477</f>
        <v>Deck equipment lubrication (use of oils)</v>
      </c>
      <c r="D50" s="827"/>
      <c r="E50" s="827"/>
      <c r="F50" s="827"/>
      <c r="G50" s="827"/>
      <c r="H50" s="827"/>
      <c r="I50" s="827"/>
      <c r="J50" s="828"/>
      <c r="K50" s="1035">
        <f>'Checklist - Ranking Ship Oil'!U483</f>
        <v>0</v>
      </c>
      <c r="L50" s="1036"/>
      <c r="M50" s="1037"/>
      <c r="N50" s="1038">
        <f>'Checklist - Ranking Ship Oil'!V483</f>
        <v>55</v>
      </c>
      <c r="O50" s="1039"/>
      <c r="P50" s="1040"/>
      <c r="Q50" s="893">
        <f>'Checklist - Ranking Ship Oil'!F484</f>
        <v>0</v>
      </c>
      <c r="R50" s="894"/>
      <c r="S50" s="894"/>
      <c r="T50" s="1041"/>
      <c r="U50" s="971"/>
      <c r="V50" s="470"/>
      <c r="W50" s="296"/>
      <c r="X50" s="296"/>
      <c r="Y50" s="28"/>
      <c r="Z50" s="352"/>
      <c r="AA50" s="363"/>
      <c r="AB50" s="364" t="str">
        <f t="shared" si="10"/>
        <v/>
      </c>
    </row>
    <row r="51" spans="1:28" s="701" customFormat="1" ht="27.95" customHeight="1" x14ac:dyDescent="0.2">
      <c r="A51" s="187"/>
      <c r="B51" s="319" t="str">
        <f>'Checklist - Ranking Ship Oil'!B485</f>
        <v>5820</v>
      </c>
      <c r="C51" s="826" t="str">
        <f>'Checklist - Ranking Ship Oil'!C485</f>
        <v>Management of bilge water and sludge handling onboard</v>
      </c>
      <c r="D51" s="827"/>
      <c r="E51" s="827"/>
      <c r="F51" s="827"/>
      <c r="G51" s="827"/>
      <c r="H51" s="827"/>
      <c r="I51" s="827"/>
      <c r="J51" s="828"/>
      <c r="K51" s="1035">
        <f>'Checklist - Ranking Ship Oil'!U488</f>
        <v>0</v>
      </c>
      <c r="L51" s="1036"/>
      <c r="M51" s="1037"/>
      <c r="N51" s="1038">
        <f>'Checklist - Ranking Ship Oil'!V488</f>
        <v>15</v>
      </c>
      <c r="O51" s="1039"/>
      <c r="P51" s="1040"/>
      <c r="Q51" s="893">
        <f>'Checklist - Ranking Ship Oil'!F489</f>
        <v>15</v>
      </c>
      <c r="R51" s="894"/>
      <c r="S51" s="894"/>
      <c r="T51" s="1041"/>
      <c r="U51" s="971"/>
      <c r="V51" s="470"/>
      <c r="W51" s="296"/>
      <c r="X51" s="296"/>
      <c r="Y51" s="28"/>
      <c r="Z51" s="352"/>
      <c r="AA51" s="363"/>
      <c r="AB51" s="364" t="str">
        <f t="shared" si="10"/>
        <v>s</v>
      </c>
    </row>
    <row r="52" spans="1:28" s="701" customFormat="1" ht="27.95" customHeight="1" x14ac:dyDescent="0.2">
      <c r="A52" s="187"/>
      <c r="B52" s="319" t="str">
        <f>'Checklist - Ranking Ship Oil'!B490</f>
        <v>5821</v>
      </c>
      <c r="C52" s="826" t="str">
        <f>'Checklist - Ranking Ship Oil'!C490</f>
        <v>Outfitting of bilge water system</v>
      </c>
      <c r="D52" s="827"/>
      <c r="E52" s="827"/>
      <c r="F52" s="827"/>
      <c r="G52" s="827"/>
      <c r="H52" s="827"/>
      <c r="I52" s="827"/>
      <c r="J52" s="828"/>
      <c r="K52" s="1035">
        <f>'Checklist - Ranking Ship Oil'!U511</f>
        <v>0</v>
      </c>
      <c r="L52" s="1036"/>
      <c r="M52" s="1037"/>
      <c r="N52" s="1038">
        <f>'Checklist - Ranking Ship Oil'!V511</f>
        <v>80</v>
      </c>
      <c r="O52" s="1039"/>
      <c r="P52" s="1040"/>
      <c r="Q52" s="893">
        <f>'Checklist - Ranking Ship Oil'!F512</f>
        <v>20</v>
      </c>
      <c r="R52" s="894"/>
      <c r="S52" s="894"/>
      <c r="T52" s="1041"/>
      <c r="U52" s="971"/>
      <c r="V52" s="470"/>
      <c r="W52" s="296"/>
      <c r="X52" s="296"/>
      <c r="Y52" s="28"/>
      <c r="Z52" s="352"/>
      <c r="AA52" s="363"/>
      <c r="AB52" s="364" t="str">
        <f t="shared" si="10"/>
        <v/>
      </c>
    </row>
    <row r="53" spans="1:28" s="701" customFormat="1" ht="27.95" customHeight="1" x14ac:dyDescent="0.2">
      <c r="A53" s="293"/>
      <c r="B53" s="473" t="str">
        <f>'Checklist - Ranking Ship Oil'!B513</f>
        <v>5822</v>
      </c>
      <c r="C53" s="826" t="str">
        <f>'Checklist - Ranking Ship Oil'!C513</f>
        <v>Outfitting of sludge handling system</v>
      </c>
      <c r="D53" s="827"/>
      <c r="E53" s="827"/>
      <c r="F53" s="827"/>
      <c r="G53" s="827"/>
      <c r="H53" s="827"/>
      <c r="I53" s="827"/>
      <c r="J53" s="828"/>
      <c r="K53" s="1035">
        <f>'Checklist - Ranking Ship Oil'!U520</f>
        <v>0</v>
      </c>
      <c r="L53" s="1036"/>
      <c r="M53" s="1037"/>
      <c r="N53" s="1038">
        <f>'Checklist - Ranking Ship Oil'!V520</f>
        <v>30</v>
      </c>
      <c r="O53" s="1039"/>
      <c r="P53" s="1040"/>
      <c r="Q53" s="893">
        <f>'Checklist - Ranking Ship Oil'!F521</f>
        <v>10</v>
      </c>
      <c r="R53" s="894"/>
      <c r="S53" s="894"/>
      <c r="T53" s="1041"/>
      <c r="U53" s="971"/>
      <c r="V53" s="470"/>
      <c r="W53" s="296"/>
      <c r="X53" s="296"/>
      <c r="Y53" s="28"/>
      <c r="Z53" s="352"/>
      <c r="AA53" s="363"/>
      <c r="AB53" s="364" t="str">
        <f>IF(Q53=N53, IF(K53=N53,"a","s"),"")</f>
        <v/>
      </c>
    </row>
    <row r="54" spans="1:28" s="701" customFormat="1" ht="27.95" customHeight="1" thickBot="1" x14ac:dyDescent="0.25">
      <c r="A54" s="187"/>
      <c r="B54" s="319">
        <f>'Checklist - Ranking Ship Oil'!B522</f>
        <v>5900</v>
      </c>
      <c r="C54" s="826" t="str">
        <f>'Checklist - Ranking Ship Oil'!C522</f>
        <v>Ship Recycling - Inventory of Hazardous Materials</v>
      </c>
      <c r="D54" s="827"/>
      <c r="E54" s="827"/>
      <c r="F54" s="827"/>
      <c r="G54" s="827"/>
      <c r="H54" s="827"/>
      <c r="I54" s="827"/>
      <c r="J54" s="828"/>
      <c r="K54" s="1035">
        <f>'Checklist - Ranking Ship Oil'!U526</f>
        <v>0</v>
      </c>
      <c r="L54" s="1036"/>
      <c r="M54" s="1037"/>
      <c r="N54" s="1038">
        <f>'Checklist - Ranking Ship Oil'!V526</f>
        <v>130</v>
      </c>
      <c r="O54" s="1039"/>
      <c r="P54" s="1040"/>
      <c r="Q54" s="893">
        <f>'Checklist - Ranking Ship Oil'!F527</f>
        <v>40</v>
      </c>
      <c r="R54" s="894"/>
      <c r="S54" s="894"/>
      <c r="T54" s="1041"/>
      <c r="U54" s="971"/>
      <c r="V54" s="470"/>
      <c r="W54" s="296"/>
      <c r="X54" s="296"/>
      <c r="Y54" s="28"/>
      <c r="Z54" s="352"/>
      <c r="AA54" s="365"/>
      <c r="AB54" s="366" t="str">
        <f>IF(Q54=N54, IF(K54=N54,"a","s"),"")</f>
        <v/>
      </c>
    </row>
    <row r="55" spans="1:28" s="701" customFormat="1" ht="30" customHeight="1" thickBot="1" x14ac:dyDescent="0.25">
      <c r="A55" s="293"/>
      <c r="B55" s="327">
        <f>'Checklist - Ranking Ship Oil'!B528</f>
        <v>6000</v>
      </c>
      <c r="C55" s="1051" t="str">
        <f>'Checklist - Ranking Ship Oil'!C528</f>
        <v>MAINTENANCE / SURVEYS</v>
      </c>
      <c r="D55" s="1052"/>
      <c r="E55" s="1052"/>
      <c r="F55" s="1052"/>
      <c r="G55" s="1052"/>
      <c r="H55" s="1052"/>
      <c r="I55" s="1052"/>
      <c r="J55" s="1052"/>
      <c r="K55" s="788"/>
      <c r="L55" s="788"/>
      <c r="M55" s="788"/>
      <c r="N55" s="788"/>
      <c r="O55" s="788"/>
      <c r="P55" s="788"/>
      <c r="Q55" s="788"/>
      <c r="R55" s="788"/>
      <c r="S55" s="788"/>
      <c r="T55" s="788"/>
      <c r="U55" s="789"/>
      <c r="V55" s="470"/>
      <c r="W55" s="296"/>
      <c r="X55" s="296"/>
      <c r="Y55" s="28"/>
      <c r="Z55" s="352"/>
      <c r="AA55" s="28"/>
      <c r="AB55" s="28"/>
    </row>
    <row r="56" spans="1:28" s="701" customFormat="1" ht="27.95" customHeight="1" x14ac:dyDescent="0.2">
      <c r="A56" s="187"/>
      <c r="B56" s="310" t="str">
        <f>'Checklist - Ranking Ship Oil'!B529</f>
        <v>6100</v>
      </c>
      <c r="C56" s="884" t="str">
        <f>'Checklist - Ranking Ship Oil'!C529</f>
        <v>Programme of Inspections</v>
      </c>
      <c r="D56" s="885"/>
      <c r="E56" s="885"/>
      <c r="F56" s="885"/>
      <c r="G56" s="885"/>
      <c r="H56" s="885"/>
      <c r="I56" s="885"/>
      <c r="J56" s="886"/>
      <c r="K56" s="1057">
        <f>'Checklist - Ranking Ship Oil'!U534</f>
        <v>0</v>
      </c>
      <c r="L56" s="1058"/>
      <c r="M56" s="1059"/>
      <c r="N56" s="1048">
        <f>'Checklist - Ranking Ship Oil'!V534</f>
        <v>50</v>
      </c>
      <c r="O56" s="1049"/>
      <c r="P56" s="1050"/>
      <c r="Q56" s="1042">
        <f>'Checklist - Ranking Ship Oil'!F535</f>
        <v>50</v>
      </c>
      <c r="R56" s="1043"/>
      <c r="S56" s="1043"/>
      <c r="T56" s="1044"/>
      <c r="U56" s="946"/>
      <c r="V56" s="470"/>
      <c r="W56" s="296"/>
      <c r="X56" s="296"/>
      <c r="Y56" s="28"/>
      <c r="Z56" s="352"/>
      <c r="AA56" s="361"/>
      <c r="AB56" s="362" t="str">
        <f t="shared" ref="AB56:AB61" si="11">IF(Q56=N56, IF(K56=N56,"a","s"),"")</f>
        <v>s</v>
      </c>
    </row>
    <row r="57" spans="1:28" s="701" customFormat="1" ht="27.95" customHeight="1" x14ac:dyDescent="0.2">
      <c r="A57" s="187"/>
      <c r="B57" s="319" t="str">
        <f>'Checklist - Ranking Ship Oil'!B536</f>
        <v>6110</v>
      </c>
      <c r="C57" s="826" t="str">
        <f>'Checklist - Ranking Ship Oil'!C536</f>
        <v>Critical and Stand-by Equipment</v>
      </c>
      <c r="D57" s="827"/>
      <c r="E57" s="827"/>
      <c r="F57" s="827"/>
      <c r="G57" s="827"/>
      <c r="H57" s="827"/>
      <c r="I57" s="827"/>
      <c r="J57" s="828"/>
      <c r="K57" s="1035">
        <f>'Checklist - Ranking Ship Oil'!U540</f>
        <v>0</v>
      </c>
      <c r="L57" s="1036"/>
      <c r="M57" s="1037"/>
      <c r="N57" s="1038">
        <f>'Checklist - Ranking Ship Oil'!V540</f>
        <v>30</v>
      </c>
      <c r="O57" s="1039"/>
      <c r="P57" s="1040"/>
      <c r="Q57" s="893">
        <f>'Checklist - Ranking Ship Oil'!F541</f>
        <v>10</v>
      </c>
      <c r="R57" s="894"/>
      <c r="S57" s="894"/>
      <c r="T57" s="1041"/>
      <c r="U57" s="971"/>
      <c r="V57" s="470"/>
      <c r="W57" s="296"/>
      <c r="X57" s="296"/>
      <c r="Y57" s="28"/>
      <c r="Z57" s="352"/>
      <c r="AA57" s="363"/>
      <c r="AB57" s="364" t="str">
        <f t="shared" si="11"/>
        <v/>
      </c>
    </row>
    <row r="58" spans="1:28" s="701" customFormat="1" ht="27.95" customHeight="1" x14ac:dyDescent="0.2">
      <c r="A58" s="293"/>
      <c r="B58" s="319">
        <f>'Checklist - Ranking Ship Oil'!B542</f>
        <v>6200</v>
      </c>
      <c r="C58" s="826" t="str">
        <f>'Checklist - Ranking Ship Oil'!C542</f>
        <v>Mooring Equipment</v>
      </c>
      <c r="D58" s="827"/>
      <c r="E58" s="827"/>
      <c r="F58" s="827"/>
      <c r="G58" s="827"/>
      <c r="H58" s="827"/>
      <c r="I58" s="827"/>
      <c r="J58" s="828"/>
      <c r="K58" s="1035">
        <f>'Checklist - Ranking Ship Oil'!U555</f>
        <v>0</v>
      </c>
      <c r="L58" s="1036"/>
      <c r="M58" s="1037"/>
      <c r="N58" s="1038">
        <f>'Checklist - Ranking Ship Oil'!V555</f>
        <v>95</v>
      </c>
      <c r="O58" s="1039"/>
      <c r="P58" s="1040"/>
      <c r="Q58" s="893">
        <f>'Checklist - Ranking Ship Oil'!F556</f>
        <v>65</v>
      </c>
      <c r="R58" s="894"/>
      <c r="S58" s="894"/>
      <c r="T58" s="1041"/>
      <c r="U58" s="971"/>
      <c r="V58" s="470"/>
      <c r="W58" s="296"/>
      <c r="X58" s="296"/>
      <c r="Y58" s="28"/>
      <c r="Z58" s="352"/>
      <c r="AA58" s="363"/>
      <c r="AB58" s="364" t="str">
        <f t="shared" si="11"/>
        <v/>
      </c>
    </row>
    <row r="59" spans="1:28" s="701" customFormat="1" ht="27.95" customHeight="1" x14ac:dyDescent="0.2">
      <c r="A59" s="77"/>
      <c r="B59" s="319">
        <f>'Checklist - Ranking Ship Oil'!B557</f>
        <v>6300</v>
      </c>
      <c r="C59" s="826" t="str">
        <f>'Checklist - Ranking Ship Oil'!C557</f>
        <v xml:space="preserve">Corrosion Prevention of Seawater Ballast Tanks </v>
      </c>
      <c r="D59" s="827"/>
      <c r="E59" s="827"/>
      <c r="F59" s="827"/>
      <c r="G59" s="827"/>
      <c r="H59" s="827"/>
      <c r="I59" s="827"/>
      <c r="J59" s="828"/>
      <c r="K59" s="1035">
        <f>'Checklist - Ranking Ship Oil'!U564</f>
        <v>0</v>
      </c>
      <c r="L59" s="1036"/>
      <c r="M59" s="1037"/>
      <c r="N59" s="1038">
        <f>'Checklist - Ranking Ship Oil'!V564</f>
        <v>70</v>
      </c>
      <c r="O59" s="1039"/>
      <c r="P59" s="1040"/>
      <c r="Q59" s="893">
        <f>'Checklist - Ranking Ship Oil'!F565</f>
        <v>40</v>
      </c>
      <c r="R59" s="894"/>
      <c r="S59" s="894"/>
      <c r="T59" s="1041"/>
      <c r="U59" s="971"/>
      <c r="V59" s="470"/>
      <c r="W59" s="296"/>
      <c r="X59" s="296"/>
      <c r="Y59" s="28"/>
      <c r="Z59" s="352"/>
      <c r="AA59" s="363"/>
      <c r="AB59" s="364" t="str">
        <f t="shared" si="11"/>
        <v/>
      </c>
    </row>
    <row r="60" spans="1:28" s="701" customFormat="1" ht="27.95" customHeight="1" x14ac:dyDescent="0.2">
      <c r="A60" s="77"/>
      <c r="B60" s="319">
        <f>'Checklist - Ranking Ship Oil'!B566</f>
        <v>6400</v>
      </c>
      <c r="C60" s="826" t="str">
        <f>'Checklist - Ranking Ship Oil'!C566</f>
        <v xml:space="preserve">Condition Assessment Program, Maintenance Additional Green Award requirements </v>
      </c>
      <c r="D60" s="827"/>
      <c r="E60" s="827"/>
      <c r="F60" s="827"/>
      <c r="G60" s="827"/>
      <c r="H60" s="827"/>
      <c r="I60" s="827"/>
      <c r="J60" s="828"/>
      <c r="K60" s="1035">
        <f>'Checklist - Ranking Ship Oil'!U575</f>
        <v>0</v>
      </c>
      <c r="L60" s="1036"/>
      <c r="M60" s="1037"/>
      <c r="N60" s="1038">
        <f>'Checklist - Ranking Ship Oil'!V575</f>
        <v>120</v>
      </c>
      <c r="O60" s="1039"/>
      <c r="P60" s="1040"/>
      <c r="Q60" s="893">
        <f>'Checklist - Ranking Ship Oil'!F576</f>
        <v>60</v>
      </c>
      <c r="R60" s="894"/>
      <c r="S60" s="894"/>
      <c r="T60" s="1041"/>
      <c r="U60" s="971"/>
      <c r="V60" s="470"/>
      <c r="W60" s="296"/>
      <c r="X60" s="296"/>
      <c r="Y60" s="28"/>
      <c r="Z60" s="352"/>
      <c r="AA60" s="363"/>
      <c r="AB60" s="364" t="str">
        <f t="shared" si="11"/>
        <v/>
      </c>
    </row>
    <row r="61" spans="1:28" s="701" customFormat="1" ht="27.95" customHeight="1" thickBot="1" x14ac:dyDescent="0.25">
      <c r="A61" s="188"/>
      <c r="B61" s="319">
        <f>'Checklist - Ranking Ship Oil'!B577</f>
        <v>6500</v>
      </c>
      <c r="C61" s="826" t="str">
        <f>'Checklist - Ranking Ship Oil'!C577</f>
        <v>Certificates for Cargo Gear</v>
      </c>
      <c r="D61" s="827"/>
      <c r="E61" s="827"/>
      <c r="F61" s="827"/>
      <c r="G61" s="827"/>
      <c r="H61" s="827"/>
      <c r="I61" s="827"/>
      <c r="J61" s="828"/>
      <c r="K61" s="1035">
        <f>'Checklist - Ranking Ship Oil'!U582</f>
        <v>0</v>
      </c>
      <c r="L61" s="1036"/>
      <c r="M61" s="1037"/>
      <c r="N61" s="1038">
        <f>'Checklist - Ranking Ship Oil'!V582</f>
        <v>40</v>
      </c>
      <c r="O61" s="1039"/>
      <c r="P61" s="1040"/>
      <c r="Q61" s="893">
        <f>'Checklist - Ranking Ship Oil'!F583</f>
        <v>40</v>
      </c>
      <c r="R61" s="894"/>
      <c r="S61" s="894"/>
      <c r="T61" s="1041"/>
      <c r="U61" s="971"/>
      <c r="V61" s="470"/>
      <c r="W61" s="296"/>
      <c r="X61" s="296"/>
      <c r="Y61" s="28"/>
      <c r="Z61" s="352"/>
      <c r="AA61" s="365"/>
      <c r="AB61" s="366" t="str">
        <f t="shared" si="11"/>
        <v>s</v>
      </c>
    </row>
    <row r="62" spans="1:28" s="701" customFormat="1" ht="30" customHeight="1" thickBot="1" x14ac:dyDescent="0.25">
      <c r="A62" s="293"/>
      <c r="B62" s="327">
        <f>'Checklist - Ranking Ship Oil'!B584</f>
        <v>7000</v>
      </c>
      <c r="C62" s="1051" t="str">
        <f>'Checklist - Ranking Ship Oil'!C584</f>
        <v>CREW</v>
      </c>
      <c r="D62" s="1052"/>
      <c r="E62" s="1052"/>
      <c r="F62" s="1052"/>
      <c r="G62" s="1052"/>
      <c r="H62" s="1052"/>
      <c r="I62" s="1052"/>
      <c r="J62" s="1052"/>
      <c r="K62" s="788"/>
      <c r="L62" s="788"/>
      <c r="M62" s="788"/>
      <c r="N62" s="788"/>
      <c r="O62" s="788"/>
      <c r="P62" s="788"/>
      <c r="Q62" s="788"/>
      <c r="R62" s="788"/>
      <c r="S62" s="788"/>
      <c r="T62" s="788"/>
      <c r="U62" s="789"/>
      <c r="V62" s="471"/>
      <c r="W62" s="296"/>
      <c r="X62" s="296"/>
      <c r="Y62" s="28"/>
      <c r="Z62" s="352"/>
      <c r="AA62" s="28"/>
      <c r="AB62" s="28"/>
    </row>
    <row r="63" spans="1:28" s="701" customFormat="1" ht="27.95" customHeight="1" x14ac:dyDescent="0.2">
      <c r="A63" s="77"/>
      <c r="B63" s="542" t="str">
        <f>'Checklist - Ranking Ship Oil'!B585</f>
        <v>7200</v>
      </c>
      <c r="C63" s="884" t="str">
        <f>'Checklist - Ranking Ship Oil'!C585</f>
        <v>Extra Personnel, Additional Green Award Requirement</v>
      </c>
      <c r="D63" s="885"/>
      <c r="E63" s="885"/>
      <c r="F63" s="885"/>
      <c r="G63" s="885"/>
      <c r="H63" s="885"/>
      <c r="I63" s="885"/>
      <c r="J63" s="886"/>
      <c r="K63" s="1057">
        <f>'Checklist - Ranking Ship Oil'!U592</f>
        <v>0</v>
      </c>
      <c r="L63" s="1058"/>
      <c r="M63" s="1059"/>
      <c r="N63" s="1048">
        <f>'Checklist - Ranking Ship Oil'!V592</f>
        <v>60</v>
      </c>
      <c r="O63" s="1049"/>
      <c r="P63" s="1050"/>
      <c r="Q63" s="1042">
        <f>'Checklist - Ranking Ship Oil'!F593</f>
        <v>20</v>
      </c>
      <c r="R63" s="1043"/>
      <c r="S63" s="1043"/>
      <c r="T63" s="1044"/>
      <c r="U63" s="946"/>
      <c r="V63" s="470"/>
      <c r="W63" s="296"/>
      <c r="X63" s="296"/>
      <c r="Y63" s="28"/>
      <c r="Z63" s="352"/>
      <c r="AA63" s="361"/>
      <c r="AB63" s="362" t="str">
        <f>IF(Q63=N63, IF(K63=N63,"a","s"),"")</f>
        <v/>
      </c>
    </row>
    <row r="64" spans="1:28" s="694" customFormat="1" ht="27.95" customHeight="1" x14ac:dyDescent="0.45">
      <c r="A64"/>
      <c r="B64" s="319">
        <f>'Checklist - Ranking Ship Oil'!B594</f>
        <v>7300</v>
      </c>
      <c r="C64" s="826" t="str">
        <f>'Checklist - Ranking Ship Oil'!C594</f>
        <v>Training / Courses for Personnel, Additional Green Award Requirements &amp; IMO Model Courses</v>
      </c>
      <c r="D64" s="827"/>
      <c r="E64" s="827"/>
      <c r="F64" s="827"/>
      <c r="G64" s="827"/>
      <c r="H64" s="827"/>
      <c r="I64" s="827"/>
      <c r="J64" s="828"/>
      <c r="K64" s="1035">
        <f>'Checklist - Ranking Ship Oil'!U604</f>
        <v>0</v>
      </c>
      <c r="L64" s="1036"/>
      <c r="M64" s="1037"/>
      <c r="N64" s="868">
        <f>'Checklist - Ranking Ship Oil'!V604</f>
        <v>70</v>
      </c>
      <c r="O64" s="869"/>
      <c r="P64" s="870"/>
      <c r="Q64" s="893">
        <f>'Checklist - Ranking Ship Oil'!F605</f>
        <v>50</v>
      </c>
      <c r="R64" s="894"/>
      <c r="S64" s="894"/>
      <c r="T64" s="1041"/>
      <c r="U64" s="971"/>
      <c r="V64" s="470"/>
      <c r="W64" s="297"/>
      <c r="X64" s="297"/>
      <c r="Y64" s="28"/>
      <c r="Z64" s="353"/>
      <c r="AA64" s="363"/>
      <c r="AB64" s="364" t="str">
        <f>IF(Q64=N64, IF(K64=N64,"a","s"),"")</f>
        <v/>
      </c>
    </row>
    <row r="65" spans="1:28" s="694" customFormat="1" ht="27.95" customHeight="1" x14ac:dyDescent="0.45">
      <c r="A65"/>
      <c r="B65" s="319">
        <f>'Checklist - Ranking Ship Oil'!B606</f>
        <v>7400</v>
      </c>
      <c r="C65" s="826" t="str">
        <f>'Checklist - Ranking Ship Oil'!C606</f>
        <v xml:space="preserve">Familiarisation, Additional Green Award Requirement   </v>
      </c>
      <c r="D65" s="827"/>
      <c r="E65" s="827"/>
      <c r="F65" s="827"/>
      <c r="G65" s="827"/>
      <c r="H65" s="827"/>
      <c r="I65" s="827"/>
      <c r="J65" s="828"/>
      <c r="K65" s="1035">
        <f>'Checklist - Ranking Ship Oil'!U612</f>
        <v>0</v>
      </c>
      <c r="L65" s="1036"/>
      <c r="M65" s="1037"/>
      <c r="N65" s="868">
        <f>'Checklist - Ranking Ship Oil'!V612</f>
        <v>70</v>
      </c>
      <c r="O65" s="869"/>
      <c r="P65" s="870"/>
      <c r="Q65" s="893">
        <f>'Checklist - Ranking Ship Oil'!F613</f>
        <v>50</v>
      </c>
      <c r="R65" s="894"/>
      <c r="S65" s="894"/>
      <c r="T65" s="1041"/>
      <c r="U65" s="971"/>
      <c r="V65" s="470"/>
      <c r="W65" s="297"/>
      <c r="X65" s="297"/>
      <c r="Y65" s="28"/>
      <c r="Z65" s="353"/>
      <c r="AA65" s="363"/>
      <c r="AB65" s="364" t="str">
        <f>IF(Q65=N65, IF(K65=N65,"a","s"),"")</f>
        <v/>
      </c>
    </row>
    <row r="66" spans="1:28" s="694" customFormat="1" ht="27.95" customHeight="1" thickBot="1" x14ac:dyDescent="0.5">
      <c r="A66"/>
      <c r="B66" s="319" t="str">
        <f>'Checklist - Ranking Ship Oil'!B614</f>
        <v>7500</v>
      </c>
      <c r="C66" s="826" t="str">
        <f>'Checklist - Ranking Ship Oil'!C614</f>
        <v>Safe Manning and Fatigue Management</v>
      </c>
      <c r="D66" s="827"/>
      <c r="E66" s="827"/>
      <c r="F66" s="827"/>
      <c r="G66" s="827"/>
      <c r="H66" s="827"/>
      <c r="I66" s="827"/>
      <c r="J66" s="828"/>
      <c r="K66" s="1035">
        <f>'Checklist - Ranking Ship Oil'!U626</f>
        <v>0</v>
      </c>
      <c r="L66" s="1036"/>
      <c r="M66" s="1037"/>
      <c r="N66" s="868">
        <f>'Checklist - Ranking Ship Oil'!V626</f>
        <v>95</v>
      </c>
      <c r="O66" s="869"/>
      <c r="P66" s="870"/>
      <c r="Q66" s="893">
        <f>'Checklist - Ranking Ship Oil'!F627</f>
        <v>60</v>
      </c>
      <c r="R66" s="894"/>
      <c r="S66" s="894"/>
      <c r="T66" s="1041"/>
      <c r="U66" s="971"/>
      <c r="V66" s="470"/>
      <c r="W66" s="297"/>
      <c r="X66" s="297"/>
      <c r="Y66" s="28"/>
      <c r="Z66" s="353"/>
      <c r="AA66" s="365"/>
      <c r="AB66" s="366" t="str">
        <f>IF(Q66=N66, IF(K66=N66,"a","s"),"")</f>
        <v/>
      </c>
    </row>
    <row r="67" spans="1:28" s="701" customFormat="1" ht="30" customHeight="1" thickBot="1" x14ac:dyDescent="0.25">
      <c r="A67" s="293"/>
      <c r="B67" s="327">
        <f>'Checklist - Ranking Ship Oil'!B628</f>
        <v>9000</v>
      </c>
      <c r="C67" s="1051" t="str">
        <f>'Checklist - Ranking Ship Oil'!C628</f>
        <v>REQUIREMENTS ACCORDING TO ISO STANDARDS</v>
      </c>
      <c r="D67" s="1052"/>
      <c r="E67" s="1052"/>
      <c r="F67" s="1052"/>
      <c r="G67" s="1052"/>
      <c r="H67" s="1052"/>
      <c r="I67" s="1052"/>
      <c r="J67" s="1052"/>
      <c r="K67" s="788"/>
      <c r="L67" s="788"/>
      <c r="M67" s="788"/>
      <c r="N67" s="788"/>
      <c r="O67" s="788"/>
      <c r="P67" s="788"/>
      <c r="Q67" s="788"/>
      <c r="R67" s="788"/>
      <c r="S67" s="788"/>
      <c r="T67" s="788"/>
      <c r="U67" s="789"/>
      <c r="V67" s="471"/>
      <c r="W67" s="296"/>
      <c r="X67" s="296"/>
      <c r="Y67" s="28"/>
      <c r="Z67" s="352"/>
      <c r="AA67" s="28"/>
      <c r="AB67" s="28"/>
    </row>
    <row r="68" spans="1:28" s="694" customFormat="1" ht="27.95" customHeight="1" thickBot="1" x14ac:dyDescent="0.5">
      <c r="A68" s="188"/>
      <c r="B68" s="315" t="str">
        <f>'Checklist - Ranking Ship Oil'!B629</f>
        <v>9421</v>
      </c>
      <c r="C68" s="1065" t="str">
        <f>'Checklist - Ranking Ship Oil'!C629</f>
        <v>ISO Certification</v>
      </c>
      <c r="D68" s="1066"/>
      <c r="E68" s="1066"/>
      <c r="F68" s="1066"/>
      <c r="G68" s="1066"/>
      <c r="H68" s="1066"/>
      <c r="I68" s="1066"/>
      <c r="J68" s="1067"/>
      <c r="K68" s="1062">
        <f>'Checklist - Ranking Ship Oil'!U638</f>
        <v>0</v>
      </c>
      <c r="L68" s="1063"/>
      <c r="M68" s="1064"/>
      <c r="N68" s="1068">
        <f>'Checklist - Ranking Ship Oil'!V638</f>
        <v>80</v>
      </c>
      <c r="O68" s="1069"/>
      <c r="P68" s="1070"/>
      <c r="Q68" s="1053">
        <f>'Checklist - Ranking Ship Oil'!F639</f>
        <v>0</v>
      </c>
      <c r="R68" s="1054"/>
      <c r="S68" s="1054"/>
      <c r="T68" s="1055"/>
      <c r="U68" s="1056"/>
      <c r="V68" s="470"/>
      <c r="W68" s="297"/>
      <c r="X68" s="297"/>
      <c r="Y68" s="28"/>
      <c r="Z68" s="353"/>
      <c r="AA68" s="365"/>
      <c r="AB68" s="366" t="str">
        <f t="shared" ref="AB68" si="12">IF(Q68=N68, IF(K68=N68,"a","s"),"")</f>
        <v/>
      </c>
    </row>
    <row r="69" spans="1:28" s="701" customFormat="1" ht="30" customHeight="1" thickBot="1" x14ac:dyDescent="0.25">
      <c r="A69" s="188"/>
      <c r="B69" s="474"/>
      <c r="C69" s="880" t="s">
        <v>838</v>
      </c>
      <c r="D69" s="881"/>
      <c r="E69" s="881"/>
      <c r="F69" s="881"/>
      <c r="G69" s="881"/>
      <c r="H69" s="881"/>
      <c r="I69" s="881"/>
      <c r="J69" s="882"/>
      <c r="K69" s="1074">
        <f>SUM(K5:M68)</f>
        <v>0</v>
      </c>
      <c r="L69" s="1075"/>
      <c r="M69" s="1076"/>
      <c r="N69" s="1071">
        <f>SUM(N5:P68)</f>
        <v>3515</v>
      </c>
      <c r="O69" s="1072"/>
      <c r="P69" s="1073"/>
      <c r="Q69" s="890">
        <f>SUM(Q5:S68)</f>
        <v>1545</v>
      </c>
      <c r="R69" s="891"/>
      <c r="S69" s="892"/>
      <c r="T69" s="475"/>
      <c r="U69" s="476"/>
      <c r="V69" s="470"/>
      <c r="W69" s="296"/>
      <c r="X69" s="295"/>
      <c r="Y69" s="28"/>
      <c r="Z69" s="28"/>
      <c r="AA69" s="1085">
        <f>COUNTIF(AB5:AB68,"s")</f>
        <v>9</v>
      </c>
      <c r="AB69" s="1086"/>
    </row>
    <row r="70" spans="1:28" ht="21" customHeight="1" thickBot="1" x14ac:dyDescent="0.25">
      <c r="A70" s="300"/>
      <c r="B70" s="82"/>
      <c r="C70" s="883"/>
      <c r="D70" s="883"/>
      <c r="E70" s="883"/>
      <c r="F70" s="883"/>
      <c r="G70" s="883"/>
      <c r="H70" s="883"/>
      <c r="I70" s="883"/>
      <c r="J70" s="883"/>
      <c r="K70" s="883"/>
      <c r="L70" s="883"/>
      <c r="M70" s="883"/>
      <c r="N70" s="883"/>
      <c r="O70" s="82"/>
      <c r="P70" s="82"/>
      <c r="Q70" s="82"/>
      <c r="R70" s="82"/>
      <c r="S70" s="82"/>
      <c r="T70" s="82"/>
      <c r="U70" s="82"/>
      <c r="V70" s="82"/>
      <c r="W70" s="4"/>
      <c r="X70" s="62"/>
      <c r="Y70" s="28"/>
      <c r="Z70" s="28"/>
      <c r="AA70" s="28"/>
      <c r="AB70" s="28"/>
    </row>
    <row r="71" spans="1:28" ht="29.25" customHeight="1" x14ac:dyDescent="0.2">
      <c r="A71" s="300"/>
      <c r="B71" s="301" t="s">
        <v>547</v>
      </c>
      <c r="C71" s="4"/>
      <c r="D71" s="82"/>
      <c r="E71" s="82"/>
      <c r="F71" s="82"/>
      <c r="G71" s="82"/>
      <c r="H71" s="82"/>
      <c r="I71" s="82"/>
      <c r="J71" s="82"/>
      <c r="K71" s="82"/>
      <c r="L71" s="82"/>
      <c r="M71" s="82"/>
      <c r="N71" s="82"/>
      <c r="O71" s="82"/>
      <c r="P71" s="82"/>
      <c r="Q71" s="82"/>
      <c r="R71" s="82"/>
      <c r="S71" s="82"/>
      <c r="T71" s="82"/>
      <c r="U71" s="82"/>
      <c r="V71" s="82"/>
      <c r="W71" s="82"/>
      <c r="X71" s="82"/>
      <c r="Y71" s="28"/>
      <c r="Z71" s="28"/>
      <c r="AA71" s="1083" t="s">
        <v>227</v>
      </c>
      <c r="AB71" s="1084"/>
    </row>
    <row r="72" spans="1:28" ht="30" customHeight="1" thickBot="1" x14ac:dyDescent="0.25">
      <c r="A72" s="300"/>
      <c r="B72" s="302" t="s">
        <v>661</v>
      </c>
      <c r="C72" s="1060" t="s">
        <v>549</v>
      </c>
      <c r="D72" s="783"/>
      <c r="E72" s="783"/>
      <c r="F72" s="783"/>
      <c r="G72" s="783"/>
      <c r="H72" s="783"/>
      <c r="I72" s="783"/>
      <c r="J72" s="783"/>
      <c r="K72" s="783"/>
      <c r="L72" s="783"/>
      <c r="M72" s="783"/>
      <c r="N72" s="1061"/>
      <c r="O72" s="82"/>
      <c r="P72" s="82"/>
      <c r="Q72" s="82"/>
      <c r="R72" s="82"/>
      <c r="S72" s="82"/>
      <c r="T72" s="82"/>
      <c r="U72" s="82"/>
      <c r="V72" s="82"/>
      <c r="W72" s="82"/>
      <c r="X72" s="82"/>
      <c r="Y72" s="28"/>
      <c r="Z72" s="28"/>
      <c r="AA72" s="354" t="s">
        <v>548</v>
      </c>
      <c r="AB72" s="355">
        <f>K69/N69</f>
        <v>0</v>
      </c>
    </row>
    <row r="73" spans="1:28" ht="30" customHeight="1" x14ac:dyDescent="0.2">
      <c r="A73" s="300"/>
      <c r="B73" s="303"/>
      <c r="C73" s="1060" t="s">
        <v>550</v>
      </c>
      <c r="D73" s="783"/>
      <c r="E73" s="783"/>
      <c r="F73" s="783"/>
      <c r="G73" s="783"/>
      <c r="H73" s="783"/>
      <c r="I73" s="783"/>
      <c r="J73" s="783"/>
      <c r="K73" s="783"/>
      <c r="L73" s="783"/>
      <c r="M73" s="783"/>
      <c r="N73" s="1061"/>
      <c r="O73" s="82"/>
      <c r="P73" s="82"/>
      <c r="Q73" s="82"/>
      <c r="R73" s="82"/>
      <c r="S73" s="82"/>
      <c r="T73" s="82"/>
      <c r="U73" s="82"/>
      <c r="V73" s="82"/>
      <c r="W73" s="82"/>
      <c r="X73" s="82"/>
      <c r="Y73" s="28"/>
      <c r="Z73" s="28"/>
      <c r="AA73" s="356"/>
      <c r="AB73" s="356"/>
    </row>
    <row r="74" spans="1:28" ht="30" customHeight="1" x14ac:dyDescent="0.2">
      <c r="A74" s="300"/>
      <c r="B74" s="304"/>
      <c r="C74" s="1060" t="s">
        <v>551</v>
      </c>
      <c r="D74" s="783"/>
      <c r="E74" s="783"/>
      <c r="F74" s="783"/>
      <c r="G74" s="783"/>
      <c r="H74" s="783"/>
      <c r="I74" s="783"/>
      <c r="J74" s="783"/>
      <c r="K74" s="783"/>
      <c r="L74" s="783"/>
      <c r="M74" s="783"/>
      <c r="N74" s="1061"/>
      <c r="O74" s="82"/>
      <c r="P74" s="82"/>
      <c r="Q74" s="82"/>
      <c r="R74" s="82"/>
      <c r="S74" s="82"/>
      <c r="T74" s="82"/>
      <c r="U74" s="82"/>
      <c r="V74" s="82"/>
      <c r="W74" s="82"/>
      <c r="X74" s="82"/>
      <c r="Y74" s="28"/>
      <c r="Z74" s="28"/>
      <c r="AA74" s="28"/>
      <c r="AB74" s="28"/>
    </row>
    <row r="75" spans="1:28" ht="30" customHeight="1" x14ac:dyDescent="0.2">
      <c r="A75" s="300"/>
      <c r="B75" s="305">
        <v>0</v>
      </c>
      <c r="C75" s="1060" t="s">
        <v>552</v>
      </c>
      <c r="D75" s="783"/>
      <c r="E75" s="783"/>
      <c r="F75" s="783"/>
      <c r="G75" s="783"/>
      <c r="H75" s="783"/>
      <c r="I75" s="783"/>
      <c r="J75" s="783"/>
      <c r="K75" s="783"/>
      <c r="L75" s="783"/>
      <c r="M75" s="783"/>
      <c r="N75" s="1061"/>
      <c r="O75" s="82"/>
      <c r="P75" s="82"/>
      <c r="Q75" s="82"/>
      <c r="R75" s="82"/>
      <c r="S75" s="82"/>
      <c r="T75" s="82"/>
      <c r="U75" s="82"/>
      <c r="V75" s="82"/>
      <c r="W75" s="82"/>
      <c r="X75" s="82"/>
      <c r="Y75" s="28"/>
      <c r="Z75" s="28"/>
      <c r="AA75" s="28"/>
      <c r="AB75" s="28"/>
    </row>
    <row r="76" spans="1:28" ht="30" customHeight="1" x14ac:dyDescent="0.25">
      <c r="A76" s="300"/>
      <c r="B76" s="306"/>
      <c r="C76" s="1060" t="s">
        <v>553</v>
      </c>
      <c r="D76" s="783"/>
      <c r="E76" s="783"/>
      <c r="F76" s="783"/>
      <c r="G76" s="783"/>
      <c r="H76" s="783"/>
      <c r="I76" s="783"/>
      <c r="J76" s="783"/>
      <c r="K76" s="783"/>
      <c r="L76" s="783"/>
      <c r="M76" s="783"/>
      <c r="N76" s="1061"/>
      <c r="O76" s="82"/>
      <c r="P76" s="82"/>
      <c r="Q76" s="82"/>
      <c r="R76" s="82"/>
      <c r="S76" s="82"/>
      <c r="T76" s="82"/>
      <c r="U76" s="82"/>
      <c r="V76" s="82"/>
      <c r="W76" s="82"/>
      <c r="X76" s="307"/>
      <c r="Y76" s="28"/>
      <c r="Z76" s="28"/>
      <c r="AA76" s="28"/>
      <c r="AB76" s="28"/>
    </row>
    <row r="77" spans="1:28" ht="30" customHeight="1" x14ac:dyDescent="0.2">
      <c r="A77" s="300"/>
      <c r="B77" s="308">
        <v>0</v>
      </c>
      <c r="C77" s="1060" t="s">
        <v>411</v>
      </c>
      <c r="D77" s="783"/>
      <c r="E77" s="783"/>
      <c r="F77" s="783"/>
      <c r="G77" s="783"/>
      <c r="H77" s="783"/>
      <c r="I77" s="783"/>
      <c r="J77" s="783"/>
      <c r="K77" s="783"/>
      <c r="L77" s="783"/>
      <c r="M77" s="783"/>
      <c r="N77" s="1061"/>
      <c r="O77" s="82"/>
      <c r="P77" s="82"/>
      <c r="Q77" s="82"/>
      <c r="R77" s="82"/>
      <c r="S77" s="82"/>
      <c r="T77" s="82"/>
      <c r="U77" s="82"/>
      <c r="V77" s="82"/>
      <c r="W77" s="82"/>
      <c r="X77" s="82"/>
      <c r="Y77" s="28"/>
      <c r="Z77" s="28"/>
      <c r="AA77" s="28"/>
      <c r="AB77" s="28"/>
    </row>
    <row r="78" spans="1:28" ht="30" customHeight="1" x14ac:dyDescent="0.25">
      <c r="A78" s="300"/>
      <c r="B78" s="309"/>
      <c r="C78" s="1060" t="s">
        <v>554</v>
      </c>
      <c r="D78" s="783"/>
      <c r="E78" s="783"/>
      <c r="F78" s="783"/>
      <c r="G78" s="783"/>
      <c r="H78" s="783"/>
      <c r="I78" s="783"/>
      <c r="J78" s="783"/>
      <c r="K78" s="783"/>
      <c r="L78" s="783"/>
      <c r="M78" s="783"/>
      <c r="N78" s="1061"/>
      <c r="O78" s="82"/>
      <c r="P78" s="82"/>
      <c r="Q78" s="82"/>
      <c r="R78" s="82"/>
      <c r="S78" s="82"/>
      <c r="T78" s="82"/>
      <c r="U78" s="82"/>
      <c r="V78" s="82"/>
      <c r="W78" s="82"/>
      <c r="X78" s="307"/>
      <c r="Y78" s="28"/>
      <c r="Z78" s="28"/>
      <c r="AA78" s="28"/>
      <c r="AB78" s="28"/>
    </row>
    <row r="79" spans="1:28" ht="30" customHeight="1" x14ac:dyDescent="0.25">
      <c r="A79" s="300"/>
      <c r="B79" s="382"/>
      <c r="C79" s="1060" t="s">
        <v>1039</v>
      </c>
      <c r="D79" s="783"/>
      <c r="E79" s="783"/>
      <c r="F79" s="783"/>
      <c r="G79" s="783"/>
      <c r="H79" s="783"/>
      <c r="I79" s="783"/>
      <c r="J79" s="783"/>
      <c r="K79" s="783"/>
      <c r="L79" s="783"/>
      <c r="M79" s="783"/>
      <c r="N79" s="1061"/>
      <c r="O79" s="82"/>
      <c r="P79" s="82"/>
      <c r="Q79" s="82"/>
      <c r="R79" s="82"/>
      <c r="S79" s="82"/>
      <c r="T79" s="82"/>
      <c r="U79" s="82"/>
      <c r="V79" s="82"/>
      <c r="W79" s="82"/>
      <c r="X79" s="307"/>
      <c r="Y79" s="28"/>
      <c r="Z79" s="28"/>
      <c r="AA79" s="28"/>
      <c r="AB79" s="28"/>
    </row>
    <row r="80" spans="1:28" ht="20.25" x14ac:dyDescent="0.2">
      <c r="A80" s="300"/>
      <c r="B80" s="348" t="s">
        <v>432</v>
      </c>
      <c r="C80" s="349"/>
      <c r="D80" s="82"/>
      <c r="E80" s="82"/>
      <c r="F80" s="82"/>
      <c r="G80" s="82"/>
      <c r="H80" s="82"/>
      <c r="I80" s="82"/>
      <c r="J80" s="82"/>
      <c r="K80" s="82"/>
      <c r="L80" s="82"/>
      <c r="M80" s="82"/>
      <c r="N80" s="82"/>
      <c r="O80" s="82"/>
      <c r="P80" s="82"/>
      <c r="Q80" s="82"/>
      <c r="R80" s="82"/>
      <c r="S80" s="82"/>
      <c r="T80" s="82"/>
      <c r="U80" s="82"/>
      <c r="V80" s="82"/>
      <c r="W80" s="82"/>
      <c r="X80" s="82"/>
      <c r="Y80" s="28"/>
      <c r="Z80" s="28"/>
      <c r="AA80" s="28"/>
      <c r="AB80" s="28"/>
    </row>
  </sheetData>
  <sheetProtection algorithmName="SHA-512" hashValue="k0ShuXUwP0ANz+HPu+bPVFkd20b0ZZQS1RDYaEFAx3widr7z7GpjzSunk9wbLw8qGAcaPKPSGVrARxzJ3RFtBg==" saltValue="0tMaenAKXYd+iz20Vqeenw==" spinCount="100000" sheet="1" objects="1" scenarios="1"/>
  <mergeCells count="315">
    <mergeCell ref="N16:P16"/>
    <mergeCell ref="K16:M16"/>
    <mergeCell ref="T5:U5"/>
    <mergeCell ref="T8:U8"/>
    <mergeCell ref="K5:M5"/>
    <mergeCell ref="C4:U4"/>
    <mergeCell ref="T6:U6"/>
    <mergeCell ref="K18:M18"/>
    <mergeCell ref="K13:M13"/>
    <mergeCell ref="N13:P13"/>
    <mergeCell ref="Q13:S13"/>
    <mergeCell ref="C6:J6"/>
    <mergeCell ref="C7:J7"/>
    <mergeCell ref="N6:P6"/>
    <mergeCell ref="C8:J8"/>
    <mergeCell ref="K7:M7"/>
    <mergeCell ref="K6:M6"/>
    <mergeCell ref="K8:M8"/>
    <mergeCell ref="T7:U7"/>
    <mergeCell ref="K12:M12"/>
    <mergeCell ref="C11:J11"/>
    <mergeCell ref="T13:U13"/>
    <mergeCell ref="T16:U16"/>
    <mergeCell ref="T17:U17"/>
    <mergeCell ref="T18:U18"/>
    <mergeCell ref="Q18:S18"/>
    <mergeCell ref="N58:P58"/>
    <mergeCell ref="N44:P44"/>
    <mergeCell ref="AA2:AB2"/>
    <mergeCell ref="C63:J63"/>
    <mergeCell ref="C13:J13"/>
    <mergeCell ref="C5:J5"/>
    <mergeCell ref="C48:J48"/>
    <mergeCell ref="C41:J41"/>
    <mergeCell ref="C44:J44"/>
    <mergeCell ref="C52:J52"/>
    <mergeCell ref="C53:J53"/>
    <mergeCell ref="T35:U35"/>
    <mergeCell ref="T30:U30"/>
    <mergeCell ref="T33:U33"/>
    <mergeCell ref="T26:U26"/>
    <mergeCell ref="T34:U34"/>
    <mergeCell ref="T27:U27"/>
    <mergeCell ref="T36:U36"/>
    <mergeCell ref="T29:U29"/>
    <mergeCell ref="Q37:S37"/>
    <mergeCell ref="T37:U37"/>
    <mergeCell ref="B2:U2"/>
    <mergeCell ref="C3:J3"/>
    <mergeCell ref="N3:P3"/>
    <mergeCell ref="C56:J56"/>
    <mergeCell ref="K53:M53"/>
    <mergeCell ref="N57:P57"/>
    <mergeCell ref="K44:M44"/>
    <mergeCell ref="C51:J51"/>
    <mergeCell ref="C50:J50"/>
    <mergeCell ref="C57:J57"/>
    <mergeCell ref="K48:M48"/>
    <mergeCell ref="K54:M54"/>
    <mergeCell ref="K52:M52"/>
    <mergeCell ref="K56:M56"/>
    <mergeCell ref="K46:M46"/>
    <mergeCell ref="K49:M49"/>
    <mergeCell ref="K50:M50"/>
    <mergeCell ref="N48:P48"/>
    <mergeCell ref="K47:M47"/>
    <mergeCell ref="C46:J46"/>
    <mergeCell ref="K57:M57"/>
    <mergeCell ref="C45:J45"/>
    <mergeCell ref="C33:J33"/>
    <mergeCell ref="C26:J26"/>
    <mergeCell ref="C34:J34"/>
    <mergeCell ref="C79:N79"/>
    <mergeCell ref="C75:N75"/>
    <mergeCell ref="C76:N76"/>
    <mergeCell ref="C77:N77"/>
    <mergeCell ref="C78:N78"/>
    <mergeCell ref="C49:J49"/>
    <mergeCell ref="C67:U67"/>
    <mergeCell ref="C64:J64"/>
    <mergeCell ref="T66:U66"/>
    <mergeCell ref="K51:M51"/>
    <mergeCell ref="K59:M59"/>
    <mergeCell ref="K58:M58"/>
    <mergeCell ref="K61:M61"/>
    <mergeCell ref="N61:P61"/>
    <mergeCell ref="C62:U62"/>
    <mergeCell ref="Q53:S53"/>
    <mergeCell ref="Q61:S61"/>
    <mergeCell ref="Q65:S65"/>
    <mergeCell ref="N54:P54"/>
    <mergeCell ref="N56:P56"/>
    <mergeCell ref="T61:U61"/>
    <mergeCell ref="C58:J58"/>
    <mergeCell ref="C59:J59"/>
    <mergeCell ref="C54:J54"/>
    <mergeCell ref="AA71:AB71"/>
    <mergeCell ref="Q38:S38"/>
    <mergeCell ref="Q52:S52"/>
    <mergeCell ref="Q51:S51"/>
    <mergeCell ref="T41:U41"/>
    <mergeCell ref="T38:U38"/>
    <mergeCell ref="T39:U39"/>
    <mergeCell ref="Q54:S54"/>
    <mergeCell ref="AA69:AB69"/>
    <mergeCell ref="Q39:S39"/>
    <mergeCell ref="T44:U44"/>
    <mergeCell ref="Q49:S49"/>
    <mergeCell ref="T49:U49"/>
    <mergeCell ref="Q45:S45"/>
    <mergeCell ref="Q47:S47"/>
    <mergeCell ref="T45:U45"/>
    <mergeCell ref="T53:U53"/>
    <mergeCell ref="T59:U59"/>
    <mergeCell ref="T51:U51"/>
    <mergeCell ref="T58:U58"/>
    <mergeCell ref="T54:U54"/>
    <mergeCell ref="Q57:S57"/>
    <mergeCell ref="T43:U43"/>
    <mergeCell ref="Q43:S43"/>
    <mergeCell ref="Q3:S3"/>
    <mergeCell ref="N5:P5"/>
    <mergeCell ref="Q5:S5"/>
    <mergeCell ref="Q48:S48"/>
    <mergeCell ref="N9:P9"/>
    <mergeCell ref="N10:P10"/>
    <mergeCell ref="Q10:S10"/>
    <mergeCell ref="N12:P12"/>
    <mergeCell ref="Q12:S12"/>
    <mergeCell ref="C15:U15"/>
    <mergeCell ref="C16:J16"/>
    <mergeCell ref="C47:J47"/>
    <mergeCell ref="T24:U24"/>
    <mergeCell ref="C42:J42"/>
    <mergeCell ref="C43:J43"/>
    <mergeCell ref="Q26:S26"/>
    <mergeCell ref="C17:J17"/>
    <mergeCell ref="Q8:S8"/>
    <mergeCell ref="Q6:S6"/>
    <mergeCell ref="Q7:S7"/>
    <mergeCell ref="N7:P7"/>
    <mergeCell ref="K43:M43"/>
    <mergeCell ref="T47:U47"/>
    <mergeCell ref="T48:U48"/>
    <mergeCell ref="T3:U3"/>
    <mergeCell ref="C20:J20"/>
    <mergeCell ref="C39:J39"/>
    <mergeCell ref="C23:J23"/>
    <mergeCell ref="K23:M23"/>
    <mergeCell ref="N8:P8"/>
    <mergeCell ref="Q24:S24"/>
    <mergeCell ref="K11:M11"/>
    <mergeCell ref="N11:P11"/>
    <mergeCell ref="Q11:S11"/>
    <mergeCell ref="K26:M26"/>
    <mergeCell ref="Q29:S29"/>
    <mergeCell ref="N23:P23"/>
    <mergeCell ref="Q23:S23"/>
    <mergeCell ref="T23:U23"/>
    <mergeCell ref="C25:U25"/>
    <mergeCell ref="N24:P24"/>
    <mergeCell ref="K24:M24"/>
    <mergeCell ref="Q16:S16"/>
    <mergeCell ref="N18:P18"/>
    <mergeCell ref="K34:M34"/>
    <mergeCell ref="N17:P17"/>
    <mergeCell ref="N26:P26"/>
    <mergeCell ref="K3:M3"/>
    <mergeCell ref="C21:U21"/>
    <mergeCell ref="N22:P22"/>
    <mergeCell ref="K22:M22"/>
    <mergeCell ref="N20:P20"/>
    <mergeCell ref="K20:M20"/>
    <mergeCell ref="T20:U20"/>
    <mergeCell ref="T19:U19"/>
    <mergeCell ref="Q19:S19"/>
    <mergeCell ref="C22:J22"/>
    <mergeCell ref="Q20:S20"/>
    <mergeCell ref="C29:J29"/>
    <mergeCell ref="N30:P30"/>
    <mergeCell ref="K33:M33"/>
    <mergeCell ref="K29:M29"/>
    <mergeCell ref="K28:M28"/>
    <mergeCell ref="K27:M27"/>
    <mergeCell ref="K30:M30"/>
    <mergeCell ref="C27:J27"/>
    <mergeCell ref="N28:P28"/>
    <mergeCell ref="N27:P27"/>
    <mergeCell ref="N29:P29"/>
    <mergeCell ref="C32:J32"/>
    <mergeCell ref="K32:M32"/>
    <mergeCell ref="N32:P32"/>
    <mergeCell ref="C31:U31"/>
    <mergeCell ref="C28:J28"/>
    <mergeCell ref="C30:J30"/>
    <mergeCell ref="Q28:S28"/>
    <mergeCell ref="Q27:S27"/>
    <mergeCell ref="T28:U28"/>
    <mergeCell ref="Q30:S30"/>
    <mergeCell ref="Q33:S33"/>
    <mergeCell ref="Q32:S32"/>
    <mergeCell ref="T32:U32"/>
    <mergeCell ref="N34:P34"/>
    <mergeCell ref="Q44:S44"/>
    <mergeCell ref="N33:P33"/>
    <mergeCell ref="Q34:S34"/>
    <mergeCell ref="N41:P41"/>
    <mergeCell ref="T60:U60"/>
    <mergeCell ref="N45:P45"/>
    <mergeCell ref="Q60:S60"/>
    <mergeCell ref="Q58:S58"/>
    <mergeCell ref="T57:U57"/>
    <mergeCell ref="T52:U52"/>
    <mergeCell ref="N43:P43"/>
    <mergeCell ref="N52:P52"/>
    <mergeCell ref="N53:P53"/>
    <mergeCell ref="N49:P49"/>
    <mergeCell ref="N46:P46"/>
    <mergeCell ref="N51:P51"/>
    <mergeCell ref="N50:P50"/>
    <mergeCell ref="N36:P36"/>
    <mergeCell ref="N39:P39"/>
    <mergeCell ref="N38:P38"/>
    <mergeCell ref="Q69:S69"/>
    <mergeCell ref="Q68:S68"/>
    <mergeCell ref="T68:U68"/>
    <mergeCell ref="Q63:S63"/>
    <mergeCell ref="Q66:S66"/>
    <mergeCell ref="K63:M63"/>
    <mergeCell ref="C74:N74"/>
    <mergeCell ref="N65:P65"/>
    <mergeCell ref="N66:P66"/>
    <mergeCell ref="C69:J69"/>
    <mergeCell ref="K68:M68"/>
    <mergeCell ref="K66:M66"/>
    <mergeCell ref="C68:J68"/>
    <mergeCell ref="C65:J65"/>
    <mergeCell ref="C66:J66"/>
    <mergeCell ref="N68:P68"/>
    <mergeCell ref="C73:N73"/>
    <mergeCell ref="C72:N72"/>
    <mergeCell ref="K65:M65"/>
    <mergeCell ref="C70:N70"/>
    <mergeCell ref="N69:P69"/>
    <mergeCell ref="K69:M69"/>
    <mergeCell ref="K45:M45"/>
    <mergeCell ref="T65:U65"/>
    <mergeCell ref="T63:U63"/>
    <mergeCell ref="T64:U64"/>
    <mergeCell ref="N63:P63"/>
    <mergeCell ref="Q64:S64"/>
    <mergeCell ref="N60:P60"/>
    <mergeCell ref="K60:M60"/>
    <mergeCell ref="N59:P59"/>
    <mergeCell ref="C55:U55"/>
    <mergeCell ref="N47:P47"/>
    <mergeCell ref="T46:U46"/>
    <mergeCell ref="Q56:S56"/>
    <mergeCell ref="C60:J60"/>
    <mergeCell ref="Q59:S59"/>
    <mergeCell ref="T50:U50"/>
    <mergeCell ref="T56:U56"/>
    <mergeCell ref="K64:M64"/>
    <mergeCell ref="N64:P64"/>
    <mergeCell ref="C61:J61"/>
    <mergeCell ref="Q50:S50"/>
    <mergeCell ref="Q46:S46"/>
    <mergeCell ref="K38:M38"/>
    <mergeCell ref="Q36:S36"/>
    <mergeCell ref="C36:J36"/>
    <mergeCell ref="T40:U40"/>
    <mergeCell ref="N42:P42"/>
    <mergeCell ref="Q42:S42"/>
    <mergeCell ref="T42:U42"/>
    <mergeCell ref="K36:M36"/>
    <mergeCell ref="K35:M35"/>
    <mergeCell ref="N37:P37"/>
    <mergeCell ref="K37:M37"/>
    <mergeCell ref="Q41:S41"/>
    <mergeCell ref="K40:M40"/>
    <mergeCell ref="N40:P40"/>
    <mergeCell ref="Q40:S40"/>
    <mergeCell ref="Q35:S35"/>
    <mergeCell ref="C40:J40"/>
    <mergeCell ref="K39:M39"/>
    <mergeCell ref="K42:M42"/>
    <mergeCell ref="C37:J37"/>
    <mergeCell ref="C35:J35"/>
    <mergeCell ref="K41:M41"/>
    <mergeCell ref="C38:J38"/>
    <mergeCell ref="N35:P35"/>
    <mergeCell ref="Q17:S17"/>
    <mergeCell ref="K17:M17"/>
    <mergeCell ref="C18:J18"/>
    <mergeCell ref="C19:J19"/>
    <mergeCell ref="N19:P19"/>
    <mergeCell ref="C24:J24"/>
    <mergeCell ref="K19:M19"/>
    <mergeCell ref="Q9:S9"/>
    <mergeCell ref="T9:U9"/>
    <mergeCell ref="C14:J14"/>
    <mergeCell ref="K14:M14"/>
    <mergeCell ref="N14:P14"/>
    <mergeCell ref="Q14:S14"/>
    <mergeCell ref="T14:U14"/>
    <mergeCell ref="T11:U11"/>
    <mergeCell ref="C9:J9"/>
    <mergeCell ref="K9:M9"/>
    <mergeCell ref="C10:J10"/>
    <mergeCell ref="T10:U10"/>
    <mergeCell ref="K10:M10"/>
    <mergeCell ref="T12:U12"/>
    <mergeCell ref="C12:J12"/>
    <mergeCell ref="Q22:S22"/>
    <mergeCell ref="T22:U22"/>
  </mergeCells>
  <phoneticPr fontId="0" type="noConversion"/>
  <conditionalFormatting sqref="B75">
    <cfRule type="expression" dxfId="275" priority="85" stopIfTrue="1">
      <formula>D75&gt;0</formula>
    </cfRule>
  </conditionalFormatting>
  <conditionalFormatting sqref="B77">
    <cfRule type="cellIs" dxfId="274" priority="88" stopIfTrue="1" operator="lessThan">
      <formula>#REF!</formula>
    </cfRule>
    <cfRule type="cellIs" dxfId="273" priority="87" stopIfTrue="1" operator="greaterThan">
      <formula>C77</formula>
    </cfRule>
  </conditionalFormatting>
  <conditionalFormatting sqref="C5:J14">
    <cfRule type="expression" dxfId="272" priority="28" stopIfTrue="1">
      <formula>N5=Q5</formula>
    </cfRule>
  </conditionalFormatting>
  <conditionalFormatting sqref="C16:J20 C26:J30 C52 C53:J54 C56:J61 C63:J66 C68:J68">
    <cfRule type="expression" dxfId="271" priority="86" stopIfTrue="1">
      <formula>N16=Q16</formula>
    </cfRule>
  </conditionalFormatting>
  <conditionalFormatting sqref="C22:J24">
    <cfRule type="expression" dxfId="270" priority="20" stopIfTrue="1">
      <formula>N22=Q22</formula>
    </cfRule>
  </conditionalFormatting>
  <conditionalFormatting sqref="C32:J51">
    <cfRule type="expression" dxfId="269" priority="4" stopIfTrue="1">
      <formula>N32=Q32</formula>
    </cfRule>
  </conditionalFormatting>
  <conditionalFormatting sqref="K69">
    <cfRule type="cellIs" dxfId="268" priority="94" stopIfTrue="1" operator="lessThan">
      <formula>$Q$69</formula>
    </cfRule>
    <cfRule type="cellIs" dxfId="267" priority="93" stopIfTrue="1" operator="greaterThan">
      <formula>$N$69</formula>
    </cfRule>
  </conditionalFormatting>
  <conditionalFormatting sqref="K5:M14">
    <cfRule type="cellIs" dxfId="266" priority="25" stopIfTrue="1" operator="lessThan">
      <formula>Q5</formula>
    </cfRule>
    <cfRule type="cellIs" dxfId="265" priority="26" stopIfTrue="1" operator="greaterThan">
      <formula>N5</formula>
    </cfRule>
  </conditionalFormatting>
  <conditionalFormatting sqref="K16:M20 K26:M30 K52 K53:M54 K56:M61 K63:M66 K68:M68">
    <cfRule type="cellIs" dxfId="264" priority="83" stopIfTrue="1" operator="greaterThan">
      <formula>N16</formula>
    </cfRule>
    <cfRule type="cellIs" dxfId="263" priority="82" stopIfTrue="1" operator="lessThan">
      <formula>Q16</formula>
    </cfRule>
  </conditionalFormatting>
  <conditionalFormatting sqref="K22:M24">
    <cfRule type="cellIs" dxfId="262" priority="17" stopIfTrue="1" operator="lessThan">
      <formula>Q22</formula>
    </cfRule>
    <cfRule type="cellIs" dxfId="261" priority="18" stopIfTrue="1" operator="greaterThan">
      <formula>N22</formula>
    </cfRule>
  </conditionalFormatting>
  <conditionalFormatting sqref="K32:M51">
    <cfRule type="cellIs" dxfId="260" priority="2" stopIfTrue="1" operator="greaterThan">
      <formula>N32</formula>
    </cfRule>
    <cfRule type="cellIs" dxfId="259" priority="1" stopIfTrue="1" operator="lessThan">
      <formula>Q32</formula>
    </cfRule>
  </conditionalFormatting>
  <conditionalFormatting sqref="Q5:S14">
    <cfRule type="cellIs" dxfId="258" priority="27" stopIfTrue="1" operator="greaterThan">
      <formula>N5</formula>
    </cfRule>
  </conditionalFormatting>
  <conditionalFormatting sqref="Q16:S20 Q26:S30 R45:S45 Q45:Q46 Q47:S51 Q52:Q54 Q56:Q61 Q63:Q66 Q68:Q69">
    <cfRule type="cellIs" dxfId="257" priority="84" stopIfTrue="1" operator="greaterThan">
      <formula>N16</formula>
    </cfRule>
  </conditionalFormatting>
  <conditionalFormatting sqref="Q22:S24">
    <cfRule type="cellIs" dxfId="256" priority="19" stopIfTrue="1" operator="greaterThan">
      <formula>N22</formula>
    </cfRule>
  </conditionalFormatting>
  <conditionalFormatting sqref="Q32:S44">
    <cfRule type="cellIs" dxfId="255" priority="3" stopIfTrue="1" operator="greaterThan">
      <formula>N32</formula>
    </cfRule>
  </conditionalFormatting>
  <conditionalFormatting sqref="T5:U14">
    <cfRule type="expression" dxfId="254" priority="30" stopIfTrue="1">
      <formula>Q5=0</formula>
    </cfRule>
  </conditionalFormatting>
  <conditionalFormatting sqref="T16:U20 T26:U30 T56:U61 T63:U66 T68:U68">
    <cfRule type="expression" dxfId="253" priority="90" stopIfTrue="1">
      <formula>Q16=0</formula>
    </cfRule>
  </conditionalFormatting>
  <conditionalFormatting sqref="T22:U24">
    <cfRule type="expression" dxfId="252" priority="22" stopIfTrue="1">
      <formula>Q22=0</formula>
    </cfRule>
  </conditionalFormatting>
  <conditionalFormatting sqref="T32:U54">
    <cfRule type="expression" dxfId="251" priority="6" stopIfTrue="1">
      <formula>Q32=0</formula>
    </cfRule>
  </conditionalFormatting>
  <conditionalFormatting sqref="AA5:AA14">
    <cfRule type="expression" dxfId="250" priority="29" stopIfTrue="1">
      <formula>N5=Q5</formula>
    </cfRule>
  </conditionalFormatting>
  <conditionalFormatting sqref="AA16:AA20 AA26:AA30 AA56:AA61 AA63:AA66 AA68">
    <cfRule type="expression" dxfId="249" priority="89" stopIfTrue="1">
      <formula>N16=Q16</formula>
    </cfRule>
  </conditionalFormatting>
  <conditionalFormatting sqref="AA22:AA24">
    <cfRule type="expression" dxfId="248" priority="21" stopIfTrue="1">
      <formula>N22=Q22</formula>
    </cfRule>
  </conditionalFormatting>
  <conditionalFormatting sqref="AA32:AA54">
    <cfRule type="expression" dxfId="247" priority="5" stopIfTrue="1">
      <formula>N32=Q32</formula>
    </cfRule>
  </conditionalFormatting>
  <conditionalFormatting sqref="AB5:AB14">
    <cfRule type="cellIs" dxfId="246" priority="31" stopIfTrue="1" operator="equal">
      <formula>"a"</formula>
    </cfRule>
    <cfRule type="cellIs" dxfId="245" priority="32" stopIfTrue="1" operator="equal">
      <formula>"s"</formula>
    </cfRule>
  </conditionalFormatting>
  <conditionalFormatting sqref="AB16:AB20 AB26:AB30 AB56:AB61 AB63:AB66 AB68">
    <cfRule type="cellIs" dxfId="244" priority="91" stopIfTrue="1" operator="equal">
      <formula>"a"</formula>
    </cfRule>
    <cfRule type="cellIs" dxfId="243" priority="92" stopIfTrue="1" operator="equal">
      <formula>"s"</formula>
    </cfRule>
  </conditionalFormatting>
  <conditionalFormatting sqref="AB22:AB24">
    <cfRule type="cellIs" dxfId="242" priority="24" stopIfTrue="1" operator="equal">
      <formula>"s"</formula>
    </cfRule>
    <cfRule type="cellIs" dxfId="241" priority="23" stopIfTrue="1" operator="equal">
      <formula>"a"</formula>
    </cfRule>
  </conditionalFormatting>
  <conditionalFormatting sqref="AB32:AB54">
    <cfRule type="cellIs" dxfId="240" priority="8" stopIfTrue="1" operator="equal">
      <formula>"s"</formula>
    </cfRule>
    <cfRule type="cellIs" dxfId="239" priority="7" stopIfTrue="1" operator="equal">
      <formula>"a"</formula>
    </cfRule>
  </conditionalFormatting>
  <printOptions horizontalCentered="1"/>
  <pageMargins left="0.35433070866141736" right="0.35433070866141736" top="0.23622047244094491" bottom="0.31496062992125984" header="0.11811023622047245" footer="0.15748031496062992"/>
  <pageSetup paperSize="9" scale="40" orientation="landscape" r:id="rId1"/>
  <headerFooter alignWithMargins="0">
    <oddFooter>&amp;L&amp;11CKL TNK / VERSION 2025 / 1.1&amp;C&amp;11OMC-09&amp;R&amp;11&amp;P of &amp;N</oddFooter>
  </headerFooter>
  <rowBreaks count="1" manualBreakCount="1">
    <brk id="43"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91994-B0E5-4F66-952F-73E00DAF05A5}">
  <dimension ref="A1:BB77"/>
  <sheetViews>
    <sheetView zoomScale="75" zoomScaleNormal="75" zoomScaleSheetLayoutView="70" workbookViewId="0">
      <pane xSplit="14" ySplit="8" topLeftCell="O9" activePane="bottomRight" state="frozen"/>
      <selection pane="topRight" activeCell="M1" sqref="M1"/>
      <selection pane="bottomLeft" activeCell="A9" sqref="A9"/>
      <selection pane="bottomRight" activeCell="M1" sqref="M1"/>
    </sheetView>
  </sheetViews>
  <sheetFormatPr defaultColWidth="9.140625" defaultRowHeight="15.75" x14ac:dyDescent="0.25"/>
  <cols>
    <col min="1" max="1" width="5" style="668" customWidth="1"/>
    <col min="2" max="3" width="5" style="668" bestFit="1" customWidth="1"/>
    <col min="4" max="4" width="84.85546875" style="668" customWidth="1"/>
    <col min="5" max="5" width="6.7109375" style="668" customWidth="1"/>
    <col min="6" max="12" width="5.7109375" style="668" customWidth="1"/>
    <col min="13" max="13" width="7.28515625" style="665" customWidth="1"/>
    <col min="14" max="14" width="8.7109375" style="666" hidden="1" customWidth="1"/>
    <col min="15" max="15" width="9.85546875" style="668" customWidth="1"/>
    <col min="16" max="16" width="17.7109375" style="668" bestFit="1" customWidth="1"/>
    <col min="17" max="27" width="9.140625" style="668"/>
    <col min="28" max="28" width="9.140625" style="668" customWidth="1"/>
    <col min="29" max="29" width="28" style="668" hidden="1" customWidth="1"/>
    <col min="30" max="30" width="0" style="668" hidden="1" customWidth="1"/>
    <col min="31" max="16384" width="9.140625" style="668"/>
  </cols>
  <sheetData>
    <row r="1" spans="1:54" ht="15.75" customHeight="1" x14ac:dyDescent="0.25">
      <c r="A1" s="1190" t="str">
        <f>'Checklist - Basic Ship Oil'!A1</f>
        <v xml:space="preserve">GA Code: </v>
      </c>
      <c r="B1" s="1190"/>
      <c r="C1" s="1190"/>
      <c r="D1" s="1192" t="str">
        <f>'Checklist - Basic Ship Oil'!C1</f>
        <v xml:space="preserve">Ship name:   </v>
      </c>
      <c r="E1" s="664"/>
      <c r="F1" s="664"/>
      <c r="G1" s="1194" t="str">
        <f>'Checklist - Basic Ship Oil'!T1</f>
        <v xml:space="preserve">Date of Ship Survey:  </v>
      </c>
      <c r="H1" s="1194"/>
      <c r="I1" s="1194"/>
      <c r="J1" s="1194"/>
      <c r="K1" s="1194"/>
      <c r="L1" s="1194"/>
      <c r="O1" s="667"/>
      <c r="P1" s="667"/>
      <c r="Q1" s="667"/>
      <c r="R1" s="667"/>
      <c r="S1" s="667"/>
      <c r="T1" s="667"/>
      <c r="U1" s="667"/>
      <c r="V1" s="667"/>
      <c r="W1" s="667"/>
      <c r="X1" s="667"/>
      <c r="Y1" s="667"/>
      <c r="Z1" s="667"/>
      <c r="AA1" s="667"/>
      <c r="AB1" s="667"/>
      <c r="AC1" s="667"/>
      <c r="AD1" s="667"/>
      <c r="AE1" s="667"/>
      <c r="AF1" s="667"/>
      <c r="AG1" s="667"/>
      <c r="AH1" s="667"/>
      <c r="AI1" s="667"/>
      <c r="AJ1" s="667"/>
      <c r="AK1" s="667"/>
      <c r="AL1" s="667"/>
      <c r="AM1" s="667"/>
      <c r="AN1" s="667"/>
      <c r="AO1" s="667"/>
      <c r="AP1" s="667"/>
      <c r="AQ1" s="667"/>
      <c r="AR1" s="667"/>
      <c r="AS1" s="667"/>
      <c r="AT1" s="667"/>
      <c r="AU1" s="667"/>
      <c r="AV1" s="667"/>
      <c r="AW1" s="667"/>
      <c r="AX1" s="667"/>
      <c r="AY1" s="667"/>
      <c r="AZ1" s="667"/>
      <c r="BA1" s="667"/>
      <c r="BB1" s="667"/>
    </row>
    <row r="2" spans="1:54" x14ac:dyDescent="0.25">
      <c r="A2" s="1191"/>
      <c r="B2" s="1191"/>
      <c r="C2" s="1191"/>
      <c r="D2" s="1193"/>
      <c r="E2" s="669"/>
      <c r="F2" s="669"/>
      <c r="G2" s="1195"/>
      <c r="H2" s="1195"/>
      <c r="I2" s="1195"/>
      <c r="J2" s="1195"/>
      <c r="K2" s="1195"/>
      <c r="L2" s="1195"/>
      <c r="O2" s="667"/>
      <c r="P2" s="667"/>
      <c r="Q2" s="667"/>
      <c r="R2" s="667"/>
      <c r="S2" s="667"/>
      <c r="T2" s="667"/>
      <c r="U2" s="667"/>
      <c r="V2" s="667"/>
      <c r="W2" s="667"/>
      <c r="X2" s="667"/>
      <c r="Y2" s="667"/>
      <c r="Z2" s="667"/>
      <c r="AA2" s="667"/>
      <c r="AB2" s="667"/>
      <c r="AC2" s="667"/>
      <c r="AD2" s="667"/>
      <c r="AE2" s="667"/>
      <c r="AF2" s="667"/>
      <c r="AG2" s="667"/>
      <c r="AH2" s="667"/>
      <c r="AI2" s="667"/>
      <c r="AJ2" s="667"/>
      <c r="AK2" s="667"/>
      <c r="AL2" s="667"/>
      <c r="AM2" s="667"/>
      <c r="AN2" s="667"/>
      <c r="AO2" s="667"/>
      <c r="AP2" s="667"/>
      <c r="AQ2" s="667"/>
      <c r="AR2" s="667"/>
      <c r="AS2" s="667"/>
      <c r="AT2" s="667"/>
      <c r="AU2" s="667"/>
      <c r="AV2" s="667"/>
      <c r="AW2" s="667"/>
      <c r="AX2" s="667"/>
      <c r="AY2" s="667"/>
      <c r="AZ2" s="667"/>
      <c r="BA2" s="667"/>
      <c r="BB2" s="667"/>
    </row>
    <row r="3" spans="1:54" ht="30.75" customHeight="1" x14ac:dyDescent="0.25">
      <c r="A3" s="1196" t="s">
        <v>1517</v>
      </c>
      <c r="B3" s="1196"/>
      <c r="C3" s="1196"/>
      <c r="D3" s="1196"/>
      <c r="E3" s="1196"/>
      <c r="F3" s="1196"/>
      <c r="G3" s="1196"/>
      <c r="H3" s="1196"/>
      <c r="I3" s="1196"/>
      <c r="J3" s="1196"/>
      <c r="K3" s="1196"/>
      <c r="L3" s="1196"/>
      <c r="O3" s="667"/>
      <c r="P3" s="667"/>
      <c r="Q3" s="667"/>
      <c r="R3" s="667"/>
      <c r="S3" s="667"/>
      <c r="T3" s="667"/>
      <c r="U3" s="667"/>
      <c r="V3" s="667"/>
      <c r="W3" s="667"/>
      <c r="X3" s="667"/>
      <c r="Y3" s="667"/>
      <c r="Z3" s="667"/>
      <c r="AA3" s="667"/>
      <c r="AB3" s="667"/>
      <c r="AC3" s="667"/>
      <c r="AD3" s="667"/>
      <c r="AE3" s="667"/>
      <c r="AF3" s="667"/>
      <c r="AG3" s="667"/>
      <c r="AH3" s="667"/>
      <c r="AI3" s="667"/>
      <c r="AJ3" s="667"/>
      <c r="AK3" s="667"/>
      <c r="AL3" s="667"/>
      <c r="AM3" s="667"/>
      <c r="AN3" s="667"/>
      <c r="AO3" s="667"/>
      <c r="AP3" s="667"/>
      <c r="AQ3" s="667"/>
      <c r="AR3" s="667"/>
      <c r="AS3" s="667"/>
      <c r="AT3" s="667"/>
      <c r="AU3" s="667"/>
      <c r="AV3" s="667"/>
      <c r="AW3" s="667"/>
      <c r="AX3" s="667"/>
      <c r="AY3" s="667"/>
      <c r="AZ3" s="667"/>
      <c r="BA3" s="667"/>
      <c r="BB3" s="667"/>
    </row>
    <row r="4" spans="1:54" x14ac:dyDescent="0.25">
      <c r="A4" s="1197"/>
      <c r="B4" s="1198"/>
      <c r="C4" s="1198"/>
      <c r="D4" s="1198"/>
      <c r="E4" s="1198"/>
      <c r="F4" s="1198"/>
      <c r="G4" s="1198"/>
      <c r="H4" s="1198"/>
      <c r="I4" s="1198"/>
      <c r="J4" s="1198"/>
      <c r="K4" s="1198"/>
      <c r="L4" s="1199"/>
      <c r="O4" s="667"/>
      <c r="P4" s="667"/>
      <c r="Q4" s="667"/>
      <c r="R4" s="667"/>
      <c r="S4" s="667"/>
      <c r="T4" s="667"/>
      <c r="U4" s="667"/>
      <c r="V4" s="667"/>
      <c r="W4" s="667"/>
      <c r="X4" s="667"/>
      <c r="Y4" s="667"/>
      <c r="Z4" s="667"/>
      <c r="AA4" s="667"/>
      <c r="AB4" s="667"/>
      <c r="AC4" s="667"/>
      <c r="AD4" s="667"/>
      <c r="AE4" s="667"/>
      <c r="AF4" s="667"/>
      <c r="AG4" s="667"/>
      <c r="AH4" s="667"/>
      <c r="AI4" s="667"/>
      <c r="AJ4" s="667"/>
      <c r="AK4" s="667"/>
      <c r="AL4" s="667"/>
      <c r="AM4" s="667"/>
      <c r="AN4" s="667"/>
      <c r="AO4" s="667"/>
      <c r="AP4" s="667"/>
      <c r="AQ4" s="667"/>
      <c r="AR4" s="667"/>
      <c r="AS4" s="667"/>
      <c r="AT4" s="667"/>
      <c r="AU4" s="667"/>
      <c r="AV4" s="667"/>
      <c r="AW4" s="667"/>
      <c r="AX4" s="667"/>
      <c r="AY4" s="667"/>
      <c r="AZ4" s="667"/>
      <c r="BA4" s="667"/>
      <c r="BB4" s="667"/>
    </row>
    <row r="5" spans="1:54" ht="37.5" customHeight="1" thickBot="1" x14ac:dyDescent="0.3">
      <c r="A5" s="1200" t="s">
        <v>1493</v>
      </c>
      <c r="B5" s="1201"/>
      <c r="C5" s="1201"/>
      <c r="D5" s="1201"/>
      <c r="E5" s="1201"/>
      <c r="F5" s="1201"/>
      <c r="G5" s="1201"/>
      <c r="H5" s="1201"/>
      <c r="I5" s="1201"/>
      <c r="J5" s="1201"/>
      <c r="K5" s="1201"/>
      <c r="L5" s="1202"/>
      <c r="O5" s="667"/>
      <c r="P5" s="667"/>
      <c r="Q5" s="667"/>
      <c r="R5" s="667"/>
      <c r="S5" s="667"/>
      <c r="T5" s="667"/>
      <c r="U5" s="667"/>
      <c r="V5" s="667"/>
      <c r="W5" s="667"/>
      <c r="X5" s="667"/>
      <c r="Y5" s="667"/>
      <c r="Z5" s="667"/>
      <c r="AA5" s="667"/>
      <c r="AB5" s="667"/>
      <c r="AC5" s="667"/>
      <c r="AD5" s="667"/>
      <c r="AE5" s="667"/>
      <c r="AF5" s="667"/>
      <c r="AG5" s="667"/>
      <c r="AH5" s="667"/>
      <c r="AI5" s="667"/>
      <c r="AJ5" s="667"/>
      <c r="AK5" s="667"/>
      <c r="AL5" s="667"/>
      <c r="AM5" s="667"/>
      <c r="AN5" s="667"/>
      <c r="AO5" s="667"/>
      <c r="AP5" s="667"/>
      <c r="AQ5" s="667"/>
      <c r="AR5" s="667"/>
      <c r="AS5" s="667"/>
      <c r="AT5" s="667"/>
      <c r="AU5" s="667"/>
      <c r="AV5" s="667"/>
      <c r="AW5" s="667"/>
      <c r="AX5" s="667"/>
      <c r="AY5" s="667"/>
      <c r="AZ5" s="667"/>
      <c r="BA5" s="667"/>
      <c r="BB5" s="667"/>
    </row>
    <row r="6" spans="1:54" ht="16.5" customHeight="1" thickTop="1" x14ac:dyDescent="0.25">
      <c r="A6" s="1173" t="s">
        <v>1494</v>
      </c>
      <c r="B6" s="1174"/>
      <c r="C6" s="1174"/>
      <c r="D6" s="1174"/>
      <c r="E6" s="1174"/>
      <c r="F6" s="1175"/>
      <c r="G6" s="1176"/>
      <c r="H6" s="1177"/>
      <c r="I6" s="1177"/>
      <c r="J6" s="1177"/>
      <c r="K6" s="1177"/>
      <c r="L6" s="1178"/>
      <c r="M6" s="670"/>
      <c r="O6" s="667"/>
      <c r="P6" s="667"/>
      <c r="Q6" s="667"/>
      <c r="R6" s="667"/>
      <c r="S6" s="667"/>
      <c r="T6" s="667"/>
      <c r="U6" s="667"/>
      <c r="V6" s="667"/>
      <c r="W6" s="667"/>
      <c r="X6" s="667"/>
      <c r="Y6" s="667"/>
      <c r="Z6" s="667"/>
      <c r="AA6" s="667"/>
      <c r="AB6" s="667"/>
      <c r="AC6" s="667"/>
      <c r="AD6" s="667"/>
      <c r="AE6" s="667"/>
      <c r="AF6" s="667"/>
      <c r="AG6" s="667"/>
      <c r="AH6" s="667"/>
      <c r="AI6" s="667"/>
      <c r="AJ6" s="667"/>
      <c r="AK6" s="667"/>
      <c r="AL6" s="667"/>
      <c r="AM6" s="667"/>
      <c r="AN6" s="667"/>
      <c r="AO6" s="667"/>
      <c r="AP6" s="667"/>
      <c r="AQ6" s="667"/>
      <c r="AR6" s="667"/>
      <c r="AS6" s="667"/>
      <c r="AT6" s="667"/>
      <c r="AU6" s="667"/>
      <c r="AV6" s="667"/>
      <c r="AW6" s="667"/>
      <c r="AX6" s="667"/>
      <c r="AY6" s="667"/>
      <c r="AZ6" s="667"/>
      <c r="BA6" s="667"/>
      <c r="BB6" s="667"/>
    </row>
    <row r="7" spans="1:54" ht="15.75" customHeight="1" x14ac:dyDescent="0.25">
      <c r="A7" s="1179" t="s">
        <v>1784</v>
      </c>
      <c r="B7" s="1180"/>
      <c r="C7" s="1180"/>
      <c r="D7" s="1180"/>
      <c r="E7" s="1180"/>
      <c r="F7" s="1181"/>
      <c r="G7" s="1182"/>
      <c r="H7" s="1183"/>
      <c r="I7" s="1183"/>
      <c r="J7" s="1183"/>
      <c r="K7" s="1183"/>
      <c r="L7" s="1184"/>
      <c r="M7" s="670"/>
      <c r="O7" s="667"/>
      <c r="P7" s="667"/>
      <c r="Q7" s="667"/>
      <c r="R7" s="667"/>
      <c r="S7" s="667"/>
      <c r="T7" s="667"/>
      <c r="U7" s="667"/>
      <c r="V7" s="667"/>
      <c r="W7" s="667"/>
      <c r="X7" s="667"/>
      <c r="Y7" s="667"/>
      <c r="Z7" s="667"/>
      <c r="AA7" s="667"/>
      <c r="AB7" s="667"/>
      <c r="AC7" s="667"/>
      <c r="AD7" s="667"/>
      <c r="AE7" s="667"/>
      <c r="AF7" s="667"/>
      <c r="AG7" s="667"/>
      <c r="AH7" s="667"/>
      <c r="AI7" s="667"/>
      <c r="AJ7" s="667"/>
      <c r="AK7" s="667"/>
      <c r="AL7" s="667"/>
      <c r="AM7" s="667"/>
      <c r="AN7" s="667"/>
      <c r="AO7" s="667"/>
      <c r="AP7" s="667"/>
      <c r="AQ7" s="667"/>
      <c r="AR7" s="667"/>
      <c r="AS7" s="667"/>
      <c r="AT7" s="667"/>
      <c r="AU7" s="667"/>
      <c r="AV7" s="667"/>
      <c r="AW7" s="667"/>
      <c r="AX7" s="667"/>
      <c r="AY7" s="667"/>
      <c r="AZ7" s="667"/>
      <c r="BA7" s="667"/>
      <c r="BB7" s="667"/>
    </row>
    <row r="8" spans="1:54" ht="15.75" hidden="1" customHeight="1" x14ac:dyDescent="0.25">
      <c r="A8" s="671"/>
      <c r="B8" s="672"/>
      <c r="C8" s="672"/>
      <c r="D8" s="672"/>
      <c r="E8" s="672"/>
      <c r="F8" s="673"/>
      <c r="G8" s="674"/>
      <c r="H8" s="675"/>
      <c r="I8" s="675"/>
      <c r="J8" s="675"/>
      <c r="K8" s="675"/>
      <c r="L8" s="676"/>
      <c r="M8" s="670"/>
      <c r="O8" s="667"/>
      <c r="P8" s="667"/>
      <c r="Q8" s="667"/>
      <c r="R8" s="667"/>
      <c r="S8" s="667"/>
      <c r="T8" s="667"/>
      <c r="U8" s="667"/>
      <c r="V8" s="667"/>
      <c r="W8" s="667"/>
      <c r="X8" s="667"/>
      <c r="Y8" s="667"/>
      <c r="Z8" s="667"/>
      <c r="AA8" s="667"/>
      <c r="AB8" s="667"/>
      <c r="AC8" s="667"/>
      <c r="AD8" s="667"/>
      <c r="AE8" s="667"/>
      <c r="AF8" s="667"/>
      <c r="AG8" s="667"/>
      <c r="AH8" s="667"/>
      <c r="AI8" s="667"/>
      <c r="AJ8" s="667"/>
      <c r="AK8" s="667"/>
      <c r="AL8" s="667"/>
      <c r="AM8" s="667"/>
      <c r="AN8" s="667"/>
      <c r="AO8" s="667"/>
      <c r="AP8" s="667"/>
      <c r="AQ8" s="667"/>
      <c r="AR8" s="667"/>
      <c r="AS8" s="667"/>
      <c r="AT8" s="667"/>
      <c r="AU8" s="667"/>
      <c r="AV8" s="667"/>
      <c r="AW8" s="667"/>
      <c r="AX8" s="667"/>
      <c r="AY8" s="667"/>
      <c r="AZ8" s="667"/>
      <c r="BA8" s="667"/>
      <c r="BB8" s="667"/>
    </row>
    <row r="9" spans="1:54" ht="16.5" customHeight="1" x14ac:dyDescent="0.25">
      <c r="A9" s="1179" t="s">
        <v>1785</v>
      </c>
      <c r="B9" s="1180"/>
      <c r="C9" s="1180"/>
      <c r="D9" s="1180"/>
      <c r="E9" s="1180"/>
      <c r="F9" s="1181"/>
      <c r="G9" s="1185" t="s">
        <v>1786</v>
      </c>
      <c r="H9" s="1186"/>
      <c r="I9" s="1186"/>
      <c r="J9" s="1186"/>
      <c r="K9" s="1186"/>
      <c r="L9" s="1187"/>
      <c r="M9" s="677"/>
      <c r="O9" s="667"/>
      <c r="P9" s="667"/>
      <c r="Q9" s="667"/>
      <c r="R9" s="667"/>
      <c r="S9" s="667"/>
      <c r="T9" s="667"/>
      <c r="U9" s="667"/>
      <c r="V9" s="667"/>
      <c r="W9" s="667"/>
      <c r="X9" s="667"/>
      <c r="Y9" s="667"/>
      <c r="Z9" s="667"/>
      <c r="AA9" s="667"/>
      <c r="AB9" s="667"/>
      <c r="AC9" s="667" t="s">
        <v>1495</v>
      </c>
      <c r="AD9" s="667"/>
      <c r="AE9" s="667"/>
      <c r="AF9" s="667"/>
      <c r="AG9" s="667"/>
      <c r="AH9" s="667"/>
      <c r="AI9" s="667"/>
      <c r="AJ9" s="667"/>
      <c r="AK9" s="667"/>
      <c r="AL9" s="667"/>
      <c r="AM9" s="667"/>
      <c r="AN9" s="667"/>
      <c r="AO9" s="667"/>
      <c r="AP9" s="667"/>
      <c r="AQ9" s="667"/>
      <c r="AR9" s="667"/>
      <c r="AS9" s="667"/>
      <c r="AT9" s="667"/>
      <c r="AU9" s="667"/>
      <c r="AV9" s="667"/>
      <c r="AW9" s="667"/>
      <c r="AX9" s="667"/>
      <c r="AY9" s="667"/>
      <c r="AZ9" s="667"/>
      <c r="BA9" s="667"/>
      <c r="BB9" s="667"/>
    </row>
    <row r="10" spans="1:54" ht="27.95" customHeight="1" x14ac:dyDescent="0.25">
      <c r="A10" s="1179" t="s">
        <v>1787</v>
      </c>
      <c r="B10" s="1180"/>
      <c r="C10" s="1180"/>
      <c r="D10" s="1180"/>
      <c r="E10" s="1180"/>
      <c r="F10" s="1181"/>
      <c r="G10" s="1185" t="s">
        <v>1786</v>
      </c>
      <c r="H10" s="1186"/>
      <c r="I10" s="1186"/>
      <c r="J10" s="1186"/>
      <c r="K10" s="1186"/>
      <c r="L10" s="1187"/>
      <c r="M10" s="677"/>
      <c r="O10" s="667"/>
      <c r="P10" s="667"/>
      <c r="Q10" s="667"/>
      <c r="R10" s="667"/>
      <c r="S10" s="667"/>
      <c r="T10" s="667"/>
      <c r="U10" s="667"/>
      <c r="V10" s="667"/>
      <c r="W10" s="667"/>
      <c r="X10" s="667"/>
      <c r="Y10" s="667"/>
      <c r="Z10" s="667"/>
      <c r="AA10" s="667"/>
      <c r="AB10" s="667"/>
      <c r="AC10" s="667" t="s">
        <v>1497</v>
      </c>
      <c r="AD10" s="667"/>
      <c r="AE10" s="667"/>
      <c r="AF10" s="667"/>
      <c r="AG10" s="667"/>
      <c r="AH10" s="667"/>
      <c r="AI10" s="667"/>
      <c r="AJ10" s="667"/>
      <c r="AK10" s="667"/>
      <c r="AL10" s="667"/>
      <c r="AM10" s="667"/>
      <c r="AN10" s="667"/>
      <c r="AO10" s="667"/>
      <c r="AP10" s="667"/>
      <c r="AQ10" s="667"/>
      <c r="AR10" s="667"/>
      <c r="AS10" s="667"/>
      <c r="AT10" s="667"/>
      <c r="AU10" s="667"/>
      <c r="AV10" s="667"/>
      <c r="AW10" s="667"/>
      <c r="AX10" s="667"/>
      <c r="AY10" s="667"/>
      <c r="AZ10" s="667"/>
      <c r="BA10" s="667"/>
      <c r="BB10" s="667"/>
    </row>
    <row r="11" spans="1:54" ht="15.75" customHeight="1" x14ac:dyDescent="0.25">
      <c r="A11" s="1168" t="s">
        <v>1496</v>
      </c>
      <c r="B11" s="1169"/>
      <c r="C11" s="1169"/>
      <c r="D11" s="1169"/>
      <c r="E11" s="1169"/>
      <c r="F11" s="1170"/>
      <c r="G11" s="1171" t="str">
        <f>IF(AND(G6&gt;=DATE(2000,1,1),G6&lt;DATE(2011,1,1)),"T1",IF(AND(G6&gt;=DATE(2011,1,1),G6&lt;DATE(2016,1,1)),"T2",IF(G6&gt;=DATE(2016,1,1),"T3 IF IN ECA ELSE T2", IF(G6&lt;DATE(2000, 1, 1), "NA"))))</f>
        <v>NA</v>
      </c>
      <c r="H11" s="1171"/>
      <c r="I11" s="1171"/>
      <c r="J11" s="1171"/>
      <c r="K11" s="1171"/>
      <c r="L11" s="1172"/>
      <c r="O11" s="667"/>
      <c r="P11" s="667"/>
      <c r="Q11" s="667"/>
      <c r="R11" s="667"/>
      <c r="S11" s="667"/>
      <c r="T11" s="667"/>
      <c r="U11" s="667"/>
      <c r="V11" s="667"/>
      <c r="W11" s="667"/>
      <c r="X11" s="667"/>
      <c r="Y11" s="667"/>
      <c r="Z11" s="667"/>
      <c r="AA11" s="667"/>
      <c r="AB11" s="667"/>
      <c r="AC11" s="667" t="s">
        <v>1498</v>
      </c>
      <c r="AD11" s="667"/>
      <c r="AE11" s="667"/>
      <c r="AF11" s="667"/>
      <c r="AG11" s="667"/>
      <c r="AH11" s="667"/>
      <c r="AI11" s="667"/>
      <c r="AJ11" s="667"/>
      <c r="AK11" s="667"/>
      <c r="AL11" s="667"/>
      <c r="AM11" s="667"/>
      <c r="AN11" s="667"/>
      <c r="AO11" s="667"/>
      <c r="AP11" s="667"/>
      <c r="AQ11" s="667"/>
      <c r="AR11" s="667"/>
      <c r="AS11" s="667"/>
      <c r="AT11" s="667"/>
      <c r="AU11" s="667"/>
      <c r="AV11" s="667"/>
      <c r="AW11" s="667"/>
      <c r="AX11" s="667"/>
      <c r="AY11" s="667"/>
      <c r="AZ11" s="667"/>
      <c r="BA11" s="667"/>
      <c r="BB11" s="667"/>
    </row>
    <row r="12" spans="1:54" ht="16.5" customHeight="1" thickBot="1" x14ac:dyDescent="0.3">
      <c r="A12" s="1168" t="s">
        <v>1518</v>
      </c>
      <c r="B12" s="1169"/>
      <c r="C12" s="1169"/>
      <c r="D12" s="1169"/>
      <c r="E12" s="1169"/>
      <c r="F12" s="1170"/>
      <c r="G12" s="1171" t="str">
        <f>IF(G11="T1","5410.11 - 5410.12", IF(G11="T2","5410.13 - 5410.18", IF(G11="T3 IF IN ECA ELSE T2", "5410.13 - 5410.18","NA")))</f>
        <v>NA</v>
      </c>
      <c r="H12" s="1171" t="b">
        <f>IF(H7="T1","5410.12 - 5410.13", IF(H7="T2", "5410.14 - 5410.19", IF(H7="T3 IF IN ECA", "5410.14 - 5410.20")))</f>
        <v>0</v>
      </c>
      <c r="I12" s="1171" t="b">
        <f>IF(I7="T1","5410.12 - 5410.13", IF(I7="T2", "5410.14 - 5410.19", IF(I7="T3 IF IN ECA", "5410.14 - 5410.20")))</f>
        <v>0</v>
      </c>
      <c r="J12" s="1171" t="b">
        <f>IF(J7="T1","5410.12 - 5410.13", IF(J7="T2", "5410.14 - 5410.19", IF(J7="T3 IF IN ECA", "5410.14 - 5410.20")))</f>
        <v>0</v>
      </c>
      <c r="K12" s="1171" t="b">
        <f>IF(K7="T1","5410.12 - 5410.13", IF(K7="T2", "5410.14 - 5410.19", IF(K7="T3 IF IN ECA", "5410.14 - 5410.20")))</f>
        <v>0</v>
      </c>
      <c r="L12" s="1172" t="b">
        <f>IF(L7="T1","5410.12 - 5410.13", IF(L7="T2", "5410.14 - 5410.19", IF(L7="T3 IF IN ECA", "5410.14 - 5410.20")))</f>
        <v>0</v>
      </c>
      <c r="O12" s="667"/>
      <c r="P12" s="667"/>
      <c r="Q12" s="667"/>
      <c r="R12" s="667"/>
      <c r="S12" s="667"/>
      <c r="T12" s="667"/>
      <c r="U12" s="667"/>
      <c r="V12" s="667"/>
      <c r="W12" s="667"/>
      <c r="X12" s="667"/>
      <c r="Y12" s="667"/>
      <c r="Z12" s="667"/>
      <c r="AA12" s="667"/>
      <c r="AB12" s="667"/>
      <c r="AC12" s="667" t="s">
        <v>1788</v>
      </c>
      <c r="AD12" s="667" t="s">
        <v>1788</v>
      </c>
      <c r="AE12" s="667"/>
      <c r="AF12" s="667"/>
      <c r="AG12" s="667"/>
      <c r="AH12" s="667"/>
      <c r="AI12" s="667"/>
      <c r="AJ12" s="667"/>
      <c r="AK12" s="667"/>
      <c r="AL12" s="667"/>
      <c r="AM12" s="667"/>
      <c r="AN12" s="667"/>
      <c r="AO12" s="667"/>
      <c r="AP12" s="667"/>
      <c r="AQ12" s="667"/>
      <c r="AR12" s="667"/>
      <c r="AS12" s="667"/>
      <c r="AT12" s="667"/>
      <c r="AU12" s="667"/>
      <c r="AV12" s="667"/>
      <c r="AW12" s="667"/>
      <c r="AX12" s="667"/>
      <c r="AY12" s="667"/>
      <c r="AZ12" s="667"/>
      <c r="BA12" s="667"/>
      <c r="BB12" s="667"/>
    </row>
    <row r="13" spans="1:54" ht="16.5" customHeight="1" thickTop="1" x14ac:dyDescent="0.25">
      <c r="A13" s="1188" t="s">
        <v>1789</v>
      </c>
      <c r="B13" s="1188"/>
      <c r="C13" s="1188"/>
      <c r="D13" s="1188"/>
      <c r="E13" s="1188"/>
      <c r="F13" s="1188"/>
      <c r="G13" s="1188"/>
      <c r="H13" s="1188"/>
      <c r="I13" s="1188"/>
      <c r="J13" s="1188"/>
      <c r="K13" s="1188"/>
      <c r="L13" s="1188"/>
      <c r="O13" s="667"/>
      <c r="P13" s="667"/>
      <c r="Q13" s="667"/>
      <c r="R13" s="667"/>
      <c r="S13" s="667"/>
      <c r="T13" s="667"/>
      <c r="U13" s="667"/>
      <c r="V13" s="667"/>
      <c r="W13" s="667"/>
      <c r="X13" s="667"/>
      <c r="Y13" s="667"/>
      <c r="Z13" s="667"/>
      <c r="AA13" s="667"/>
      <c r="AB13" s="667"/>
      <c r="AC13" s="667" t="s">
        <v>1786</v>
      </c>
      <c r="AD13" s="667" t="s">
        <v>1786</v>
      </c>
      <c r="AE13" s="667"/>
      <c r="AF13" s="667"/>
      <c r="AG13" s="667"/>
      <c r="AH13" s="667"/>
      <c r="AI13" s="667"/>
      <c r="AJ13" s="667"/>
      <c r="AK13" s="667"/>
      <c r="AL13" s="667"/>
      <c r="AM13" s="667"/>
      <c r="AN13" s="667"/>
      <c r="AO13" s="667"/>
      <c r="AP13" s="667"/>
      <c r="AQ13" s="667"/>
      <c r="AR13" s="667"/>
      <c r="AS13" s="667"/>
      <c r="AT13" s="667"/>
      <c r="AU13" s="667"/>
      <c r="AV13" s="667"/>
      <c r="AW13" s="667"/>
      <c r="AX13" s="667"/>
      <c r="AY13" s="667"/>
      <c r="AZ13" s="667"/>
      <c r="BA13" s="667"/>
      <c r="BB13" s="667"/>
    </row>
    <row r="14" spans="1:54" ht="16.5" thickBot="1" x14ac:dyDescent="0.3">
      <c r="A14" s="1189"/>
      <c r="B14" s="1189"/>
      <c r="C14" s="1189"/>
      <c r="D14" s="1189"/>
      <c r="E14" s="1189"/>
      <c r="F14" s="1189"/>
      <c r="G14" s="1189"/>
      <c r="H14" s="1189"/>
      <c r="I14" s="1189"/>
      <c r="J14" s="1189"/>
      <c r="K14" s="1189"/>
      <c r="L14" s="1189"/>
      <c r="O14" s="667"/>
      <c r="P14" s="667"/>
      <c r="Q14" s="667"/>
      <c r="R14" s="667"/>
      <c r="S14" s="667"/>
      <c r="T14" s="667"/>
      <c r="U14" s="667"/>
      <c r="V14" s="667"/>
      <c r="W14" s="667"/>
      <c r="X14" s="667"/>
      <c r="Y14" s="667"/>
      <c r="Z14" s="667"/>
      <c r="AA14" s="667"/>
      <c r="AB14" s="667"/>
      <c r="AC14" s="667" t="s">
        <v>1790</v>
      </c>
      <c r="AD14" s="667" t="s">
        <v>1790</v>
      </c>
      <c r="AE14" s="667"/>
      <c r="AF14" s="667"/>
      <c r="AG14" s="667"/>
      <c r="AH14" s="667"/>
      <c r="AI14" s="667"/>
      <c r="AJ14" s="667"/>
      <c r="AK14" s="667"/>
      <c r="AL14" s="667"/>
      <c r="AM14" s="667"/>
      <c r="AN14" s="667"/>
      <c r="AO14" s="667"/>
      <c r="AP14" s="667"/>
      <c r="AQ14" s="667"/>
      <c r="AR14" s="667"/>
      <c r="AS14" s="667"/>
      <c r="AT14" s="667"/>
      <c r="AU14" s="667"/>
      <c r="AV14" s="667"/>
      <c r="AW14" s="667"/>
      <c r="AX14" s="667"/>
      <c r="AY14" s="667"/>
      <c r="AZ14" s="667"/>
      <c r="BA14" s="667"/>
      <c r="BB14" s="667"/>
    </row>
    <row r="15" spans="1:54" ht="22.15" customHeight="1" thickTop="1" x14ac:dyDescent="0.25">
      <c r="A15" s="1121" t="s">
        <v>1499</v>
      </c>
      <c r="B15" s="1122"/>
      <c r="C15" s="1122"/>
      <c r="D15" s="1122"/>
      <c r="E15" s="678" t="s">
        <v>1640</v>
      </c>
      <c r="F15" s="679"/>
      <c r="G15" s="1155"/>
      <c r="H15" s="1156"/>
      <c r="I15" s="1125" t="s">
        <v>1500</v>
      </c>
      <c r="J15" s="1125"/>
      <c r="K15" s="1163"/>
      <c r="L15" s="1164"/>
      <c r="M15" s="677"/>
      <c r="O15" s="680"/>
      <c r="P15" s="681"/>
      <c r="Q15" s="667"/>
      <c r="R15" s="682"/>
      <c r="S15" s="667"/>
      <c r="T15" s="667"/>
      <c r="U15" s="667"/>
      <c r="V15" s="667"/>
      <c r="W15" s="667"/>
      <c r="X15" s="667"/>
      <c r="Y15" s="667"/>
      <c r="Z15" s="667"/>
      <c r="AA15" s="667"/>
      <c r="AB15" s="667"/>
      <c r="AC15" s="667" t="s">
        <v>1791</v>
      </c>
      <c r="AD15" s="667" t="s">
        <v>1791</v>
      </c>
      <c r="AE15" s="667"/>
      <c r="AF15" s="667"/>
      <c r="AG15" s="667"/>
      <c r="AH15" s="667"/>
      <c r="AI15" s="667"/>
      <c r="AJ15" s="667"/>
      <c r="AK15" s="667"/>
      <c r="AL15" s="667"/>
      <c r="AM15" s="667"/>
      <c r="AN15" s="667"/>
      <c r="AO15" s="667"/>
      <c r="AP15" s="667"/>
      <c r="AQ15" s="667"/>
      <c r="AR15" s="667"/>
      <c r="AS15" s="667"/>
      <c r="AT15" s="667"/>
      <c r="AU15" s="667"/>
      <c r="AV15" s="667"/>
      <c r="AW15" s="667"/>
      <c r="AX15" s="667"/>
      <c r="AY15" s="667"/>
      <c r="AZ15" s="667"/>
      <c r="BA15" s="667"/>
      <c r="BB15" s="667"/>
    </row>
    <row r="16" spans="1:54" ht="22.15" customHeight="1" x14ac:dyDescent="0.25">
      <c r="A16" s="1152"/>
      <c r="B16" s="1153"/>
      <c r="C16" s="1153"/>
      <c r="D16" s="1153"/>
      <c r="E16" s="1153"/>
      <c r="F16" s="1154"/>
      <c r="G16" s="1129" t="s">
        <v>1501</v>
      </c>
      <c r="H16" s="1129"/>
      <c r="I16" s="1129" t="s">
        <v>1502</v>
      </c>
      <c r="J16" s="1129"/>
      <c r="K16" s="1129" t="s">
        <v>1503</v>
      </c>
      <c r="L16" s="1130"/>
      <c r="O16" s="683"/>
      <c r="P16" s="684"/>
      <c r="Q16" s="667"/>
      <c r="R16" s="682"/>
      <c r="S16" s="667"/>
      <c r="T16" s="667"/>
      <c r="U16" s="667"/>
      <c r="V16" s="667"/>
      <c r="W16" s="667"/>
      <c r="X16" s="667"/>
      <c r="Y16" s="667"/>
      <c r="Z16" s="667"/>
      <c r="AA16" s="667"/>
      <c r="AB16" s="667"/>
      <c r="AC16" s="667" t="s">
        <v>1792</v>
      </c>
      <c r="AD16" s="667" t="s">
        <v>1793</v>
      </c>
      <c r="AE16" s="667"/>
      <c r="AF16" s="667"/>
      <c r="AG16" s="667"/>
      <c r="AH16" s="667"/>
      <c r="AI16" s="667"/>
      <c r="AJ16" s="667"/>
      <c r="AK16" s="667"/>
      <c r="AL16" s="667"/>
      <c r="AM16" s="667"/>
      <c r="AN16" s="667"/>
      <c r="AO16" s="667"/>
      <c r="AP16" s="667"/>
      <c r="AQ16" s="667"/>
      <c r="AR16" s="667"/>
      <c r="AS16" s="667"/>
      <c r="AT16" s="667"/>
      <c r="AU16" s="667"/>
      <c r="AV16" s="667"/>
      <c r="AW16" s="667"/>
      <c r="AX16" s="667"/>
      <c r="AY16" s="667"/>
      <c r="AZ16" s="667"/>
      <c r="BA16" s="667"/>
      <c r="BB16" s="667"/>
    </row>
    <row r="17" spans="1:14" ht="22.15" customHeight="1" x14ac:dyDescent="0.25">
      <c r="A17" s="1110" t="s">
        <v>1504</v>
      </c>
      <c r="B17" s="1111"/>
      <c r="C17" s="1111"/>
      <c r="D17" s="1111"/>
      <c r="E17" s="1111"/>
      <c r="F17" s="1112"/>
      <c r="G17" s="1113" t="str">
        <f>IF(K15&lt;=0,"",IF(G11="T2","",IF(G11="T3 IF IN ECA ELSE T2","",IF(K15&lt;130,17,IF(AND(K15&gt;=130,K15&lt;=1999),45*(K15^(-0.2)),IF(K15&gt;=2000,9.8))))))</f>
        <v/>
      </c>
      <c r="H17" s="1113"/>
      <c r="I17" s="1113" t="str">
        <f>IF(K15&lt;=0, "",IF(G11="T1", "",IF(K15&lt;130,14.4, IF(AND(K15&gt;=130, K15&lt;=1999), 44*(K15^(-0.23)), IF(K15&gt;=2000,  7.7)))))</f>
        <v/>
      </c>
      <c r="J17" s="1113"/>
      <c r="K17" s="1113" t="str">
        <f>IF(K15&lt;=0, "",IF(G11="T1", "",IF(G11="T2", "",IF(K15&lt;130,3.4, IF(AND(K15&gt;=130, K15&lt;=1999), 9*(K15^(-0.2)), IF(K15&gt;=2000,  2))))))</f>
        <v/>
      </c>
      <c r="L17" s="1114"/>
      <c r="M17" s="685"/>
      <c r="N17" s="666" t="b">
        <f>IF(AND(K15&lt;130,K15&gt;0),14.4,IF(AND(K15&gt;=130,K15&lt;=1999),44*(K15^(-0.23)),IF(K15&gt;=2000,7.7)))</f>
        <v>0</v>
      </c>
    </row>
    <row r="18" spans="1:14" ht="22.15" customHeight="1" x14ac:dyDescent="0.25">
      <c r="A18" s="1115" t="s">
        <v>1505</v>
      </c>
      <c r="B18" s="1116"/>
      <c r="C18" s="1116"/>
      <c r="D18" s="1116"/>
      <c r="E18" s="1116"/>
      <c r="F18" s="1117"/>
      <c r="G18" s="1118"/>
      <c r="H18" s="1118"/>
      <c r="I18" s="1118"/>
      <c r="J18" s="1118"/>
      <c r="K18" s="1118"/>
      <c r="L18" s="1119"/>
      <c r="M18" s="677"/>
    </row>
    <row r="19" spans="1:14" ht="22.15" customHeight="1" x14ac:dyDescent="0.25">
      <c r="A19" s="1165" t="s">
        <v>1506</v>
      </c>
      <c r="B19" s="1166"/>
      <c r="C19" s="1166"/>
      <c r="D19" s="1166"/>
      <c r="E19" s="1166"/>
      <c r="F19" s="1167"/>
      <c r="G19" s="1146" t="str">
        <f>IF(G18&gt;0,(ROUND(G17,1)-G18)/ROUND(G17,1),IF(AND(G17=0,G18=0),"NA","NA"))</f>
        <v>NA</v>
      </c>
      <c r="H19" s="1146"/>
      <c r="I19" s="1146" t="str">
        <f>IF(I18&gt;0,(ROUND(I17,1)-I18)/ROUND(I17,1),IF(AND(I17=0,I18=0),"NA", "NA"))</f>
        <v>NA</v>
      </c>
      <c r="J19" s="1146"/>
      <c r="K19" s="1146" t="str">
        <f>IF(K18&gt;0,(ROUND(K17,1)-K18)/ROUND(K17,1),IF(AND(K17=0,K18=0),"NA", "NA"))</f>
        <v>NA</v>
      </c>
      <c r="L19" s="1147"/>
      <c r="M19" s="686"/>
    </row>
    <row r="20" spans="1:14" ht="16.5" thickBot="1" x14ac:dyDescent="0.3">
      <c r="A20" s="1139" t="s">
        <v>1507</v>
      </c>
      <c r="B20" s="1140"/>
      <c r="C20" s="1140"/>
      <c r="D20" s="1140"/>
      <c r="E20" s="1140"/>
      <c r="F20" s="1141"/>
      <c r="G20" s="1159" t="str">
        <f>IF(G19="NA","",IF(G18&lt;=N17,"5410.11","5410.11"))</f>
        <v/>
      </c>
      <c r="H20" s="1160" t="str">
        <f t="shared" ref="H20" si="0">IF(B20="IN_NOX","NA",IF(B20="NA","NA",IF(AND(B20&gt;=14.5%,B20&lt;29.5%),"5410.13",IF(AND(B20&gt;=29.5%,B20&lt;49.5%),"5410.15",IF(B20&gt;=49.5%,"5410.17","NA")))))</f>
        <v>NA</v>
      </c>
      <c r="I20" s="1159" t="str">
        <f>IF(I19="NA","",IF(AND(I19&gt;=14.5%,I19&lt;29.5%),"5410.13",IF(AND(I19&gt;=29.5%,I19&lt;49.5%),"5410.15",IF(I19&gt;=49.5%,"5410.17","5410.13"))))</f>
        <v/>
      </c>
      <c r="J20" s="1161" t="str">
        <f t="shared" ref="J20" si="1">IF(D20="IN_NOX","NA",IF(D20="NA","NA",IF(AND(D20&gt;=14.5%,D20&lt;29.5%),"5410.13",IF(AND(D20&gt;=29.5%,D20&lt;49.5%),"5410.15",IF(D20&gt;=49.5%,"5410.17","NA")))))</f>
        <v>NA</v>
      </c>
      <c r="K20" s="1160"/>
      <c r="L20" s="1162"/>
      <c r="N20" s="687"/>
    </row>
    <row r="21" spans="1:14" ht="17.25" thickTop="1" thickBot="1" x14ac:dyDescent="0.3">
      <c r="A21" s="1133"/>
      <c r="B21" s="1133"/>
      <c r="C21" s="1133"/>
      <c r="D21" s="1133"/>
      <c r="E21" s="1133"/>
      <c r="F21" s="1133"/>
      <c r="G21" s="1133"/>
      <c r="H21" s="1133"/>
      <c r="I21" s="1133"/>
      <c r="J21" s="1133"/>
      <c r="K21" s="1133"/>
      <c r="L21" s="1133"/>
    </row>
    <row r="22" spans="1:14" ht="22.15" customHeight="1" thickTop="1" x14ac:dyDescent="0.25">
      <c r="A22" s="1121" t="s">
        <v>1508</v>
      </c>
      <c r="B22" s="1122"/>
      <c r="C22" s="1122"/>
      <c r="D22" s="1122"/>
      <c r="E22" s="678" t="s">
        <v>1640</v>
      </c>
      <c r="F22" s="679"/>
      <c r="G22" s="1155"/>
      <c r="H22" s="1156"/>
      <c r="I22" s="1125" t="s">
        <v>1500</v>
      </c>
      <c r="J22" s="1125"/>
      <c r="K22" s="1163"/>
      <c r="L22" s="1164"/>
      <c r="M22" s="677"/>
    </row>
    <row r="23" spans="1:14" ht="22.15" customHeight="1" x14ac:dyDescent="0.25">
      <c r="A23" s="1152"/>
      <c r="B23" s="1153"/>
      <c r="C23" s="1153"/>
      <c r="D23" s="1153"/>
      <c r="E23" s="1153"/>
      <c r="F23" s="1154"/>
      <c r="G23" s="1129" t="s">
        <v>1501</v>
      </c>
      <c r="H23" s="1129"/>
      <c r="I23" s="1129" t="s">
        <v>1502</v>
      </c>
      <c r="J23" s="1129"/>
      <c r="K23" s="1129" t="s">
        <v>1503</v>
      </c>
      <c r="L23" s="1130"/>
    </row>
    <row r="24" spans="1:14" ht="22.15" customHeight="1" x14ac:dyDescent="0.25">
      <c r="A24" s="1110" t="s">
        <v>1504</v>
      </c>
      <c r="B24" s="1111"/>
      <c r="C24" s="1111"/>
      <c r="D24" s="1111"/>
      <c r="E24" s="1111"/>
      <c r="F24" s="1112"/>
      <c r="G24" s="1113" t="str">
        <f>IF(K22&lt;=0,"",IF(G11="T2","",IF(G11="T3 IF IN ECA ELSE T2","",IF(K22&lt;130,17,IF(AND(K22&gt;=130,K22&lt;=1999),45*(K22^(-0.2)),IF(K22&gt;=2000,9.8))))))</f>
        <v/>
      </c>
      <c r="H24" s="1113"/>
      <c r="I24" s="1113" t="str">
        <f>IF(K22&lt;=0,"",IF(G11="T1","",IF(K22&lt;130,14.4,IF(AND(K22&gt;=130,K22&lt;=1999),44*(K22^(-0.23)),IF(K22&gt;=2000,7.7)))))</f>
        <v/>
      </c>
      <c r="J24" s="1113"/>
      <c r="K24" s="1113" t="str">
        <f>IF(K22&lt;=0,"",IF(G11="T1","",IF(G11="T2","",IF(K22&lt;130,3.4,IF(AND(K22&gt;=130,K22&lt;=1999),9*(K22^(-0.2)),IF(K22&gt;=2000,2))))))</f>
        <v/>
      </c>
      <c r="L24" s="1114"/>
      <c r="M24" s="688"/>
      <c r="N24" s="666" t="b">
        <f>IF(AND(K22&lt;130,K22&gt;0),14.4, IF(AND(K22&gt;=130, K22&lt;=1999), 44*(K22^(-0.23)), IF(K22&gt;=2000,  7.7)))</f>
        <v>0</v>
      </c>
    </row>
    <row r="25" spans="1:14" ht="22.15" customHeight="1" x14ac:dyDescent="0.25">
      <c r="A25" s="1115" t="s">
        <v>1505</v>
      </c>
      <c r="B25" s="1116"/>
      <c r="C25" s="1116"/>
      <c r="D25" s="1116"/>
      <c r="E25" s="1116"/>
      <c r="F25" s="1117"/>
      <c r="G25" s="1118"/>
      <c r="H25" s="1118"/>
      <c r="I25" s="1118"/>
      <c r="J25" s="1118"/>
      <c r="K25" s="1118"/>
      <c r="L25" s="1119"/>
      <c r="M25" s="677"/>
    </row>
    <row r="26" spans="1:14" ht="22.15" customHeight="1" x14ac:dyDescent="0.25">
      <c r="A26" s="1134" t="s">
        <v>1506</v>
      </c>
      <c r="B26" s="1135"/>
      <c r="C26" s="1135"/>
      <c r="D26" s="1135"/>
      <c r="E26" s="1135"/>
      <c r="F26" s="1136"/>
      <c r="G26" s="1146" t="str">
        <f>IF(G25&gt;0,(ROUND(G24,1)-G25)/ROUND(G24,1),IF(AND(G24=0,G25=0),"NA", "NA"))</f>
        <v>NA</v>
      </c>
      <c r="H26" s="1146"/>
      <c r="I26" s="1146" t="str">
        <f>IF(I25&gt;0,(ROUND(I24,1)-I25)/ROUND(I24,1),IF(AND(I24=0,I25=0),"NA", "NA"))</f>
        <v>NA</v>
      </c>
      <c r="J26" s="1146"/>
      <c r="K26" s="1146" t="str">
        <f>IF(K25&gt;0,(ROUND(K24,1)-K25)/ROUND(K24,1),IF(AND(K24=0,K25=0),"NA", "NA"))</f>
        <v>NA</v>
      </c>
      <c r="L26" s="1147"/>
      <c r="M26" s="686"/>
    </row>
    <row r="27" spans="1:14" ht="16.5" thickBot="1" x14ac:dyDescent="0.3">
      <c r="A27" s="1139" t="s">
        <v>1507</v>
      </c>
      <c r="B27" s="1140"/>
      <c r="C27" s="1140"/>
      <c r="D27" s="1140"/>
      <c r="E27" s="1140"/>
      <c r="F27" s="1141"/>
      <c r="G27" s="1159" t="str">
        <f>IF(G26="NA","",IF(G25&lt;=N24,"5410.11","5410.11"))</f>
        <v/>
      </c>
      <c r="H27" s="1160" t="str">
        <f t="shared" ref="H27" si="2">IF(B27="IN_NOX","NA",IF(B27="NA","NA",IF(AND(B27&gt;=14.5%,B27&lt;29.5%),"5410.13",IF(AND(B27&gt;=29.5%,B27&lt;49.5%),"5410.15",IF(B27&gt;=49.5%,"5410.17","NA")))))</f>
        <v>NA</v>
      </c>
      <c r="I27" s="1159" t="str">
        <f>IF(I26="NA","",IF(AND(I26&gt;=14.5%,I26&lt;29.5%),"5410.13",IF(AND(I26&gt;=29.5%,I26&lt;49.5%),"5410.15",IF(I26&gt;=49.5%,"5410.17","5410.13"))))</f>
        <v/>
      </c>
      <c r="J27" s="1161" t="str">
        <f t="shared" ref="J27" si="3">IF(D27="IN_NOX","NA",IF(D27="NA","NA",IF(AND(D27&gt;=14.5%,D27&lt;29.5%),"5410.13",IF(AND(D27&gt;=29.5%,D27&lt;49.5%),"5410.15",IF(D27&gt;=49.5%,"5410.17","NA")))))</f>
        <v>NA</v>
      </c>
      <c r="K27" s="1160"/>
      <c r="L27" s="1162"/>
    </row>
    <row r="28" spans="1:14" ht="17.25" thickTop="1" thickBot="1" x14ac:dyDescent="0.3">
      <c r="A28" s="1133"/>
      <c r="B28" s="1133"/>
      <c r="C28" s="1133"/>
      <c r="D28" s="1133"/>
      <c r="E28" s="1133"/>
      <c r="F28" s="1133"/>
      <c r="G28" s="1133"/>
      <c r="H28" s="1133"/>
      <c r="I28" s="1133"/>
      <c r="J28" s="1133"/>
      <c r="K28" s="1133"/>
      <c r="L28" s="1133"/>
    </row>
    <row r="29" spans="1:14" ht="22.15" customHeight="1" thickTop="1" x14ac:dyDescent="0.25">
      <c r="A29" s="1121" t="s">
        <v>1509</v>
      </c>
      <c r="B29" s="1122"/>
      <c r="C29" s="1122"/>
      <c r="D29" s="1122"/>
      <c r="E29" s="678" t="s">
        <v>1640</v>
      </c>
      <c r="F29" s="679"/>
      <c r="G29" s="1155"/>
      <c r="H29" s="1156"/>
      <c r="I29" s="1125" t="s">
        <v>1500</v>
      </c>
      <c r="J29" s="1125"/>
      <c r="K29" s="1123"/>
      <c r="L29" s="1124"/>
      <c r="M29" s="677"/>
    </row>
    <row r="30" spans="1:14" ht="22.15" customHeight="1" x14ac:dyDescent="0.25">
      <c r="A30" s="1152"/>
      <c r="B30" s="1153"/>
      <c r="C30" s="1153"/>
      <c r="D30" s="1153"/>
      <c r="E30" s="1153"/>
      <c r="F30" s="1154"/>
      <c r="G30" s="1129" t="s">
        <v>1501</v>
      </c>
      <c r="H30" s="1129"/>
      <c r="I30" s="1129" t="s">
        <v>1502</v>
      </c>
      <c r="J30" s="1129"/>
      <c r="K30" s="1129" t="s">
        <v>1503</v>
      </c>
      <c r="L30" s="1130"/>
    </row>
    <row r="31" spans="1:14" ht="22.15" customHeight="1" x14ac:dyDescent="0.25">
      <c r="A31" s="1110" t="s">
        <v>1504</v>
      </c>
      <c r="B31" s="1111"/>
      <c r="C31" s="1111"/>
      <c r="D31" s="1111"/>
      <c r="E31" s="1111"/>
      <c r="F31" s="1112"/>
      <c r="G31" s="1113" t="str">
        <f>IF(K29&lt;=0,"",IF(G11="T2","",IF(G11="T3 IF IN ECA ELSE T2","",IF(K29&lt;130,17,IF(AND(K29&gt;=130,K29&lt;=1999),45*(K29^(-0.2)),IF(K29&gt;=2000,9.8))))))</f>
        <v/>
      </c>
      <c r="H31" s="1113"/>
      <c r="I31" s="1113" t="str">
        <f>IF(K29&lt;=0,"",IF(G11="T1","",IF(K29&lt;130,14.4,IF(AND(K29&gt;=130,K29&lt;=1999),44*(K29^(-0.23)),IF(K29&gt;=2000,7.7)))))</f>
        <v/>
      </c>
      <c r="J31" s="1113"/>
      <c r="K31" s="1113" t="str">
        <f>IF(K29&lt;=0,"",IF(G11="T1","",IF(G11="T2","",IF(K29&lt;130,3.4,IF(AND(K29&gt;=130,K29&lt;=1999),9*(K29^(-0.2)),IF(K29&gt;=2000,2))))))</f>
        <v/>
      </c>
      <c r="L31" s="1114"/>
      <c r="M31" s="688"/>
      <c r="N31" s="666" t="b">
        <f>IF(AND(K29&lt;130,K29&gt;0),14.4, IF(AND(K29&gt;=130, K29&lt;=1999), 44*(K29^(-0.23)), IF(K29&gt;=2000,  7.7)))</f>
        <v>0</v>
      </c>
    </row>
    <row r="32" spans="1:14" ht="22.15" customHeight="1" x14ac:dyDescent="0.25">
      <c r="A32" s="1115" t="s">
        <v>1505</v>
      </c>
      <c r="B32" s="1116"/>
      <c r="C32" s="1116"/>
      <c r="D32" s="1116"/>
      <c r="E32" s="1116"/>
      <c r="F32" s="1117"/>
      <c r="G32" s="1118"/>
      <c r="H32" s="1118"/>
      <c r="I32" s="1118"/>
      <c r="J32" s="1118"/>
      <c r="K32" s="1118"/>
      <c r="L32" s="1119"/>
      <c r="M32" s="677"/>
    </row>
    <row r="33" spans="1:14" ht="22.15" customHeight="1" x14ac:dyDescent="0.25">
      <c r="A33" s="1134" t="s">
        <v>1506</v>
      </c>
      <c r="B33" s="1135"/>
      <c r="C33" s="1135"/>
      <c r="D33" s="1135"/>
      <c r="E33" s="1135"/>
      <c r="F33" s="1136"/>
      <c r="G33" s="1146" t="str">
        <f>IF(G32&gt;0,(ROUND(G31,1)-G32)/ROUND(G31,1),IF(AND(G31=0,G32=0),"NA", "NA"))</f>
        <v>NA</v>
      </c>
      <c r="H33" s="1146"/>
      <c r="I33" s="1146" t="str">
        <f>IF(I32&gt;0,(ROUND(I31,1)-I32)/ROUND(I31,1),IF(AND(I31=0,I32=0),"NA", "NA"))</f>
        <v>NA</v>
      </c>
      <c r="J33" s="1146"/>
      <c r="K33" s="1146" t="str">
        <f>IF(K32&gt;0,(ROUND(K31,1)-K32)/ROUND(K31,1),IF(AND(K31=0,K32=0),"NA", "NA"))</f>
        <v>NA</v>
      </c>
      <c r="L33" s="1147"/>
    </row>
    <row r="34" spans="1:14" ht="16.5" thickBot="1" x14ac:dyDescent="0.3">
      <c r="A34" s="1139" t="s">
        <v>1507</v>
      </c>
      <c r="B34" s="1140"/>
      <c r="C34" s="1140"/>
      <c r="D34" s="1140"/>
      <c r="E34" s="1140"/>
      <c r="F34" s="1141"/>
      <c r="G34" s="1148" t="str">
        <f>IF(G33="NA","",IF(G32&lt;=N31,"5410.12","5410.12"))</f>
        <v/>
      </c>
      <c r="H34" s="1148" t="str">
        <f t="shared" ref="H34" si="4">IF(B34="IN_NOX","NA",IF(B34="NA","NA",IF(AND(B34&gt;=14.5%,B34&lt;29.5%),"5410.13",IF(AND(B34&gt;=29.5%,B34&lt;49.5%),"5410.15",IF(B34&gt;=49.5%,"5410.17","NA")))))</f>
        <v>NA</v>
      </c>
      <c r="I34" s="1148" t="str">
        <f>IF(I33="NA","",IF(AND(I33&gt;=14.5%,I33&lt;29.5%),"5410.14",IF(AND(I33&gt;=29.5%,I33&lt;49.5%),"5410.16",IF(I33&gt;=49.5%,"5410.18","5410.14"))))</f>
        <v/>
      </c>
      <c r="J34" s="1148" t="str">
        <f t="shared" ref="J34" si="5">IF(D34="IN_NOX","NA",IF(D34="NA","NA",IF(AND(D34&gt;=14.5%,D34&lt;29.5%),"5410.14",IF(AND(D34&gt;=29.5%,D34&lt;49.5%),"5410.16",IF(D34&gt;=49.5%,"5410.18","NA")))))</f>
        <v>NA</v>
      </c>
      <c r="K34" s="1148"/>
      <c r="L34" s="1149"/>
    </row>
    <row r="35" spans="1:14" ht="17.25" thickTop="1" thickBot="1" x14ac:dyDescent="0.3">
      <c r="A35" s="1133"/>
      <c r="B35" s="1133"/>
      <c r="C35" s="1133"/>
      <c r="D35" s="1133"/>
      <c r="E35" s="1133"/>
      <c r="F35" s="1133"/>
      <c r="G35" s="1133"/>
      <c r="H35" s="1133"/>
      <c r="I35" s="1133"/>
      <c r="J35" s="1133"/>
      <c r="K35" s="1133"/>
      <c r="L35" s="1133"/>
    </row>
    <row r="36" spans="1:14" ht="22.15" customHeight="1" thickTop="1" x14ac:dyDescent="0.25">
      <c r="A36" s="1121" t="s">
        <v>1510</v>
      </c>
      <c r="B36" s="1122"/>
      <c r="C36" s="1122"/>
      <c r="D36" s="1122"/>
      <c r="E36" s="678" t="s">
        <v>1640</v>
      </c>
      <c r="F36" s="679"/>
      <c r="G36" s="1155"/>
      <c r="H36" s="1156"/>
      <c r="I36" s="1125" t="s">
        <v>1500</v>
      </c>
      <c r="J36" s="1125"/>
      <c r="K36" s="1123"/>
      <c r="L36" s="1124"/>
      <c r="M36" s="677"/>
    </row>
    <row r="37" spans="1:14" ht="22.15" customHeight="1" x14ac:dyDescent="0.25">
      <c r="A37" s="1152"/>
      <c r="B37" s="1153"/>
      <c r="C37" s="1153"/>
      <c r="D37" s="1153"/>
      <c r="E37" s="1153"/>
      <c r="F37" s="1154"/>
      <c r="G37" s="1129" t="s">
        <v>1501</v>
      </c>
      <c r="H37" s="1129"/>
      <c r="I37" s="1129" t="s">
        <v>1502</v>
      </c>
      <c r="J37" s="1129"/>
      <c r="K37" s="1129" t="s">
        <v>1503</v>
      </c>
      <c r="L37" s="1130"/>
    </row>
    <row r="38" spans="1:14" ht="22.15" customHeight="1" x14ac:dyDescent="0.25">
      <c r="A38" s="1110" t="s">
        <v>1504</v>
      </c>
      <c r="B38" s="1111"/>
      <c r="C38" s="1111"/>
      <c r="D38" s="1111"/>
      <c r="E38" s="1111"/>
      <c r="F38" s="1112"/>
      <c r="G38" s="1113" t="str">
        <f>IF(K36&lt;=0,"",IF(G11="T2","",IF(G11="T3 IF IN ECA ELSE T2","",IF(K36&lt;130,17,IF(AND(K36&gt;=130,K36&lt;=1999),45*(K36^(-0.2)),IF(K36&gt;=2000,9.8))))))</f>
        <v/>
      </c>
      <c r="H38" s="1113"/>
      <c r="I38" s="1113" t="str">
        <f>IF(K36&lt;=0, "",IF(G11="T1", "",IF(K36&lt;130,14.4, IF(AND(K36&gt;=130, K36&lt;=1999), 44*(K36^(-0.23)), IF(K36&gt;=2000,  7.7)))))</f>
        <v/>
      </c>
      <c r="J38" s="1113"/>
      <c r="K38" s="1113" t="str">
        <f>IF(K36&lt;=0,"",IF(G11="T1","",IF(G11="T2","",IF(K36&lt;130,3.4,IF(AND(K36&gt;=130,K36&lt;=1999),9*(K36^(-0.2)),IF(K36&gt;=2000,2))))))</f>
        <v/>
      </c>
      <c r="L38" s="1114"/>
      <c r="M38" s="688"/>
      <c r="N38" s="666" t="b">
        <f>IF(AND(K36&lt;130,K36&gt;0),14.4, IF(AND(K36&gt;=130, K36&lt;=1999), 44*(K36^(-0.23)), IF(K36&gt;=2000,  7.7)))</f>
        <v>0</v>
      </c>
    </row>
    <row r="39" spans="1:14" ht="22.15" customHeight="1" x14ac:dyDescent="0.25">
      <c r="A39" s="1115" t="s">
        <v>1505</v>
      </c>
      <c r="B39" s="1116"/>
      <c r="C39" s="1116"/>
      <c r="D39" s="1116"/>
      <c r="E39" s="1116"/>
      <c r="F39" s="1117"/>
      <c r="G39" s="1118"/>
      <c r="H39" s="1118"/>
      <c r="I39" s="1118"/>
      <c r="J39" s="1118"/>
      <c r="K39" s="1118"/>
      <c r="L39" s="1119"/>
      <c r="M39" s="677"/>
    </row>
    <row r="40" spans="1:14" ht="22.15" customHeight="1" x14ac:dyDescent="0.25">
      <c r="A40" s="1134" t="s">
        <v>1506</v>
      </c>
      <c r="B40" s="1135"/>
      <c r="C40" s="1135"/>
      <c r="D40" s="1135"/>
      <c r="E40" s="1135"/>
      <c r="F40" s="1136"/>
      <c r="G40" s="1137" t="str">
        <f>IF(G39&gt;0,(ROUND(G38,1)-G39)/ROUND(G38,1),IF(AND(G38=0,G39=0),"NA", "NA"))</f>
        <v>NA</v>
      </c>
      <c r="H40" s="1137"/>
      <c r="I40" s="1137" t="str">
        <f>IF(I39&gt;0,(ROUND(I38,1)-I39)/ROUND(I38,1),IF(AND(I38=0,I39=0),"NA", "NA"))</f>
        <v>NA</v>
      </c>
      <c r="J40" s="1137"/>
      <c r="K40" s="1137" t="str">
        <f>IF(K39&gt;0,(ROUND(K38,1)-K39)/ROUND(K38,1),IF(AND(K38=0,K39=0),"NA", "NA"))</f>
        <v>NA</v>
      </c>
      <c r="L40" s="1138"/>
    </row>
    <row r="41" spans="1:14" ht="16.5" thickBot="1" x14ac:dyDescent="0.3">
      <c r="A41" s="1139" t="s">
        <v>1507</v>
      </c>
      <c r="B41" s="1140"/>
      <c r="C41" s="1140"/>
      <c r="D41" s="1140"/>
      <c r="E41" s="1140"/>
      <c r="F41" s="1141"/>
      <c r="G41" s="1157" t="str">
        <f>IF(G40="NA","",IF(G39&lt;=N38,"5410.12","5410.12"))</f>
        <v/>
      </c>
      <c r="H41" s="1157" t="str">
        <f t="shared" ref="H41" si="6">IF(B41="IN_NOX","NA",IF(B41="NA","NA",IF(AND(B41&gt;=14.5%,B41&lt;29.5%),"5410.13",IF(AND(B41&gt;=29.5%,B41&lt;49.5%),"5410.15",IF(B41&gt;=49.5%,"5410.17","NA")))))</f>
        <v>NA</v>
      </c>
      <c r="I41" s="1157" t="str">
        <f>IF(I40="NA","",IF(AND(I40&gt;=14.5%,I40&lt;29.5%),"5410.14",IF(AND(I40&gt;=29.5%,I40&lt;49.5%),"5410.16",IF(I40&gt;=49.5%,"5410.18","5410.14"))))</f>
        <v/>
      </c>
      <c r="J41" s="1157" t="str">
        <f t="shared" ref="J41" si="7">IF(D41="IN_NOX","NA",IF(D41="NA","NA",IF(AND(D41&gt;=14.5%,D41&lt;29.5%),"5410.14",IF(AND(D41&gt;=29.5%,D41&lt;49.5%),"5410.16",IF(D41&gt;=49.5%,"5410.18","NA")))))</f>
        <v>NA</v>
      </c>
      <c r="K41" s="1157"/>
      <c r="L41" s="1158"/>
    </row>
    <row r="42" spans="1:14" ht="17.25" thickTop="1" thickBot="1" x14ac:dyDescent="0.3">
      <c r="A42" s="1133"/>
      <c r="B42" s="1133"/>
      <c r="C42" s="1133"/>
      <c r="D42" s="1133"/>
      <c r="E42" s="1133"/>
      <c r="F42" s="1133"/>
      <c r="G42" s="1133"/>
      <c r="H42" s="1133"/>
      <c r="I42" s="1133"/>
      <c r="J42" s="1133"/>
      <c r="K42" s="1133"/>
      <c r="L42" s="1133"/>
    </row>
    <row r="43" spans="1:14" ht="22.15" customHeight="1" thickTop="1" x14ac:dyDescent="0.25">
      <c r="A43" s="689" t="s">
        <v>1511</v>
      </c>
      <c r="B43" s="690"/>
      <c r="C43" s="690"/>
      <c r="D43" s="690"/>
      <c r="E43" s="678" t="s">
        <v>1640</v>
      </c>
      <c r="F43" s="679"/>
      <c r="G43" s="1155"/>
      <c r="H43" s="1156"/>
      <c r="I43" s="1125" t="s">
        <v>1500</v>
      </c>
      <c r="J43" s="1125"/>
      <c r="K43" s="1123"/>
      <c r="L43" s="1124"/>
      <c r="M43" s="677"/>
    </row>
    <row r="44" spans="1:14" ht="22.15" customHeight="1" x14ac:dyDescent="0.25">
      <c r="A44" s="1152"/>
      <c r="B44" s="1153"/>
      <c r="C44" s="1153"/>
      <c r="D44" s="1153"/>
      <c r="E44" s="1153"/>
      <c r="F44" s="1154"/>
      <c r="G44" s="1129" t="s">
        <v>1501</v>
      </c>
      <c r="H44" s="1129"/>
      <c r="I44" s="1129" t="s">
        <v>1502</v>
      </c>
      <c r="J44" s="1129"/>
      <c r="K44" s="1129" t="s">
        <v>1503</v>
      </c>
      <c r="L44" s="1130"/>
    </row>
    <row r="45" spans="1:14" ht="22.15" customHeight="1" x14ac:dyDescent="0.25">
      <c r="A45" s="1110" t="s">
        <v>1504</v>
      </c>
      <c r="B45" s="1111"/>
      <c r="C45" s="1111"/>
      <c r="D45" s="1111"/>
      <c r="E45" s="1111"/>
      <c r="F45" s="1112"/>
      <c r="G45" s="1113" t="str">
        <f>IF(K43&lt;=0,"",IF(G11="T2","",IF(G11="T3 IF IN ECA ELSE T2","",IF(K43&lt;130,17,IF(AND(K43&gt;=130,K43&lt;=1999),45*(K43^(-0.2)),IF(K43&gt;=2000,9.8))))))</f>
        <v/>
      </c>
      <c r="H45" s="1113"/>
      <c r="I45" s="1113" t="str">
        <f>IF(K43&lt;=0, "",IF(G11="T1", "",IF(K43&lt;130,14.4, IF(AND(K43&gt;=130, K43&lt;=1999), 44*(K43^(-0.23)), IF(K43&gt;=2000,  7.7)))))</f>
        <v/>
      </c>
      <c r="J45" s="1113"/>
      <c r="K45" s="1113" t="str">
        <f>IF(K43&lt;=0,"",IF(G11="T1","",IF(G11="T2","",IF(K43&lt;130,3.4,IF(AND(K43&gt;=130,K43&lt;=1999),9*(K43^(-0.2)),IF(K43&gt;=2000,2))))))</f>
        <v/>
      </c>
      <c r="L45" s="1114"/>
      <c r="M45" s="688"/>
      <c r="N45" s="666" t="b">
        <f>IF(AND(K43&lt;130,K43&gt;0),14.4, IF(AND(K43&gt;=130, K43&lt;=1999), 44*(K43^(-0.23)), IF(K43&gt;=2000,  7.7)))</f>
        <v>0</v>
      </c>
    </row>
    <row r="46" spans="1:14" ht="22.15" customHeight="1" x14ac:dyDescent="0.25">
      <c r="A46" s="1115" t="s">
        <v>1505</v>
      </c>
      <c r="B46" s="1116"/>
      <c r="C46" s="1116"/>
      <c r="D46" s="1116"/>
      <c r="E46" s="1116"/>
      <c r="F46" s="1117"/>
      <c r="G46" s="1118"/>
      <c r="H46" s="1118"/>
      <c r="I46" s="1118"/>
      <c r="J46" s="1118"/>
      <c r="K46" s="1118"/>
      <c r="L46" s="1119"/>
      <c r="M46" s="677"/>
    </row>
    <row r="47" spans="1:14" ht="22.15" customHeight="1" x14ac:dyDescent="0.25">
      <c r="A47" s="1134" t="s">
        <v>1506</v>
      </c>
      <c r="B47" s="1135"/>
      <c r="C47" s="1135"/>
      <c r="D47" s="1135"/>
      <c r="E47" s="1135"/>
      <c r="F47" s="1136"/>
      <c r="G47" s="1146" t="str">
        <f>IF(G46&gt;0,(ROUND(G45,1)-G46)/ROUND(G45,1),IF(AND(G45=0,G46=0),"NA", "NA"))</f>
        <v>NA</v>
      </c>
      <c r="H47" s="1146"/>
      <c r="I47" s="1146" t="str">
        <f>IF(I46&gt;0,(ROUND(I45,1)-I46)/ROUND(I45,1),IF(AND(I45=0,I46=0),"NA", "NA"))</f>
        <v>NA</v>
      </c>
      <c r="J47" s="1146"/>
      <c r="K47" s="1146" t="str">
        <f>IF(K46&gt;0,(ROUND(K45,1)-K46)/ROUND(K45,1),IF(AND(K45=0,K46=0),"NA", "NA"))</f>
        <v>NA</v>
      </c>
      <c r="L47" s="1147"/>
    </row>
    <row r="48" spans="1:14" ht="16.5" thickBot="1" x14ac:dyDescent="0.3">
      <c r="A48" s="1139" t="s">
        <v>1507</v>
      </c>
      <c r="B48" s="1140"/>
      <c r="C48" s="1140"/>
      <c r="D48" s="1140"/>
      <c r="E48" s="1140"/>
      <c r="F48" s="1141"/>
      <c r="G48" s="1148" t="str">
        <f>IF(G47="NA","",IF(G46&lt;=N45,"5410.12","5410.12"))</f>
        <v/>
      </c>
      <c r="H48" s="1148" t="str">
        <f t="shared" ref="H48" si="8">IF(B48="IN_NOX","NA",IF(B48="NA","NA",IF(AND(B48&gt;=14.5%,B48&lt;29.5%),"5410.13",IF(AND(B48&gt;=29.5%,B48&lt;49.5%),"5410.15",IF(B48&gt;=49.5%,"5410.17","NA")))))</f>
        <v>NA</v>
      </c>
      <c r="I48" s="1148" t="str">
        <f>IF(I47="NA","",IF(AND(I47&gt;=14.5%,I47&lt;29.5%),"5410.14",IF(AND(I47&gt;=29.5%,I47&lt;49.5%),"5410.16",IF(I47&gt;=49.5%,"5410.18","5410.14"))))</f>
        <v/>
      </c>
      <c r="J48" s="1148" t="str">
        <f t="shared" ref="J48" si="9">IF(D48="IN_NOX","NA",IF(D48="NA","NA",IF(AND(D48&gt;=14.5%,D48&lt;29.5%),"5410.14",IF(AND(D48&gt;=29.5%,D48&lt;49.5%),"5410.16",IF(D48&gt;=49.5%,"5410.18","NA")))))</f>
        <v>NA</v>
      </c>
      <c r="K48" s="1148"/>
      <c r="L48" s="1149"/>
    </row>
    <row r="49" spans="1:16" ht="17.25" thickTop="1" thickBot="1" x14ac:dyDescent="0.3">
      <c r="A49" s="1133"/>
      <c r="B49" s="1133"/>
      <c r="C49" s="1133"/>
      <c r="D49" s="1133"/>
      <c r="E49" s="1133"/>
      <c r="F49" s="1133"/>
      <c r="G49" s="1133"/>
      <c r="H49" s="1133"/>
      <c r="I49" s="1133"/>
      <c r="J49" s="1133"/>
      <c r="K49" s="1133"/>
      <c r="L49" s="1133"/>
      <c r="O49" s="667"/>
      <c r="P49" s="667"/>
    </row>
    <row r="50" spans="1:16" ht="22.15" customHeight="1" thickTop="1" x14ac:dyDescent="0.25">
      <c r="A50" s="1121" t="s">
        <v>1512</v>
      </c>
      <c r="B50" s="1122"/>
      <c r="C50" s="1122"/>
      <c r="D50" s="1122"/>
      <c r="E50" s="678" t="s">
        <v>1640</v>
      </c>
      <c r="F50" s="679"/>
      <c r="G50" s="1150"/>
      <c r="H50" s="1151"/>
      <c r="I50" s="1125" t="s">
        <v>1500</v>
      </c>
      <c r="J50" s="1125"/>
      <c r="K50" s="1123"/>
      <c r="L50" s="1124"/>
      <c r="M50" s="677"/>
      <c r="O50" s="667"/>
      <c r="P50" s="667"/>
    </row>
    <row r="51" spans="1:16" ht="22.15" customHeight="1" x14ac:dyDescent="0.25">
      <c r="A51" s="1152"/>
      <c r="B51" s="1153"/>
      <c r="C51" s="1153"/>
      <c r="D51" s="1153"/>
      <c r="E51" s="1153"/>
      <c r="F51" s="1154"/>
      <c r="G51" s="1129" t="s">
        <v>1501</v>
      </c>
      <c r="H51" s="1129"/>
      <c r="I51" s="1129" t="s">
        <v>1502</v>
      </c>
      <c r="J51" s="1129"/>
      <c r="K51" s="1129" t="s">
        <v>1503</v>
      </c>
      <c r="L51" s="1130"/>
      <c r="O51" s="667"/>
      <c r="P51" s="667"/>
    </row>
    <row r="52" spans="1:16" ht="22.15" customHeight="1" x14ac:dyDescent="0.25">
      <c r="A52" s="1110" t="s">
        <v>1504</v>
      </c>
      <c r="B52" s="1111"/>
      <c r="C52" s="1111"/>
      <c r="D52" s="1111"/>
      <c r="E52" s="1111"/>
      <c r="F52" s="1112"/>
      <c r="G52" s="1113" t="str">
        <f>IF(K50&lt;=0,"",IF(G11="T2","",IF(G11="T3 IF IN ECA ELSE T2","",IF(K50&lt;130,17,IF(AND(K50&gt;=130,K50&lt;=1999),45*(K50^(-0.2)),IF(K50&gt;=2000,9.8))))))</f>
        <v/>
      </c>
      <c r="H52" s="1113"/>
      <c r="I52" s="1113" t="str">
        <f>IF(K50&lt;=0, "",IF(G11="T1", "",IF(K50&lt;130,14.4, IF(AND(K50&gt;=130, K50&lt;=1999), 44*(K50^(-0.23)), IF(K50&gt;=2000,  7.7)))))</f>
        <v/>
      </c>
      <c r="J52" s="1113"/>
      <c r="K52" s="1113" t="str">
        <f>IF(K50&lt;=0,"",IF(G11="T1","",IF(G11="T2","",IF(K50&lt;130,3.4,IF(AND(K50&gt;=130,K50&lt;=1999),9*(K50^(-0.2)),IF(K50&gt;=2000,2))))))</f>
        <v/>
      </c>
      <c r="L52" s="1114"/>
      <c r="M52" s="688"/>
      <c r="N52" s="666" t="b">
        <f>IF(AND(K50&lt;130,K50&gt;0),14.4, IF(AND(K50&gt;=130, K50&lt;=1999), 44*(K50^(-0.23)), IF(K50&gt;=2000,  7.7)))</f>
        <v>0</v>
      </c>
      <c r="O52" s="667"/>
      <c r="P52" s="667"/>
    </row>
    <row r="53" spans="1:16" ht="22.15" customHeight="1" x14ac:dyDescent="0.25">
      <c r="A53" s="1115" t="s">
        <v>1505</v>
      </c>
      <c r="B53" s="1116"/>
      <c r="C53" s="1116"/>
      <c r="D53" s="1116"/>
      <c r="E53" s="1116"/>
      <c r="F53" s="1117"/>
      <c r="G53" s="1118"/>
      <c r="H53" s="1118"/>
      <c r="I53" s="1118"/>
      <c r="J53" s="1118"/>
      <c r="K53" s="1118"/>
      <c r="L53" s="1119"/>
      <c r="M53" s="677"/>
      <c r="O53" s="667"/>
      <c r="P53" s="667"/>
    </row>
    <row r="54" spans="1:16" ht="22.15" customHeight="1" x14ac:dyDescent="0.25">
      <c r="A54" s="1134" t="s">
        <v>1506</v>
      </c>
      <c r="B54" s="1135"/>
      <c r="C54" s="1135"/>
      <c r="D54" s="1135"/>
      <c r="E54" s="1135"/>
      <c r="F54" s="1136"/>
      <c r="G54" s="1146" t="str">
        <f>IF(G53&gt;0,(ROUND(G52,1)-G53)/ROUND(G52,1),IF(AND(G52=0,G53=0),"NA", "NA"))</f>
        <v>NA</v>
      </c>
      <c r="H54" s="1146"/>
      <c r="I54" s="1146" t="str">
        <f>IF(I53&gt;0,(ROUND(I52,1)-I53)/ROUND(I52,1),IF(AND(I52=0,I53=0),"NA", "NA"))</f>
        <v>NA</v>
      </c>
      <c r="J54" s="1146"/>
      <c r="K54" s="1146" t="str">
        <f>IF(K53&gt;0,(ROUND(K52,1)-K53)/ROUND(K52,1),IF(AND(K52=0,K53=0),"NA", "NA"))</f>
        <v>NA</v>
      </c>
      <c r="L54" s="1147"/>
      <c r="O54" s="667"/>
      <c r="P54" s="667"/>
    </row>
    <row r="55" spans="1:16" ht="16.5" thickBot="1" x14ac:dyDescent="0.3">
      <c r="A55" s="1139" t="s">
        <v>1507</v>
      </c>
      <c r="B55" s="1140"/>
      <c r="C55" s="1140"/>
      <c r="D55" s="1140"/>
      <c r="E55" s="1140"/>
      <c r="F55" s="1141"/>
      <c r="G55" s="1148" t="str">
        <f>IF(G54="NA","",IF(G53&lt;=N52,"5410.12","5410.12"))</f>
        <v/>
      </c>
      <c r="H55" s="1148" t="str">
        <f t="shared" ref="H55" si="10">IF(B55="IN_NOX","NA",IF(B55="NA","NA",IF(AND(B55&gt;=14.5%,B55&lt;29.5%),"5410.13",IF(AND(B55&gt;=29.5%,B55&lt;49.5%),"5410.15",IF(B55&gt;=49.5%,"5410.17","NA")))))</f>
        <v>NA</v>
      </c>
      <c r="I55" s="1148" t="str">
        <f>IF(I54="NA","",IF(AND(I54&gt;=14.5%,I54&lt;29.5%),"5410.14",IF(AND(I54&gt;=29.5%,I54&lt;49.5%),"5410.16",IF(I54&gt;=49.5%,"5410.18","5410.14"))))</f>
        <v/>
      </c>
      <c r="J55" s="1148" t="str">
        <f t="shared" ref="J55" si="11">IF(D55="IN_NOX","NA",IF(D55="NA","NA",IF(AND(D55&gt;=14.5%,D55&lt;29.5%),"5410.14",IF(AND(D55&gt;=29.5%,D55&lt;49.5%),"5410.16",IF(D55&gt;=49.5%,"5410.18","NA")))))</f>
        <v>NA</v>
      </c>
      <c r="K55" s="1148"/>
      <c r="L55" s="1149"/>
      <c r="O55" s="667"/>
      <c r="P55" s="667"/>
    </row>
    <row r="56" spans="1:16" ht="17.25" thickTop="1" thickBot="1" x14ac:dyDescent="0.3">
      <c r="A56" s="1133"/>
      <c r="B56" s="1133"/>
      <c r="C56" s="1133"/>
      <c r="D56" s="1133"/>
      <c r="E56" s="1133"/>
      <c r="F56" s="1133"/>
      <c r="G56" s="1133"/>
      <c r="H56" s="1133"/>
      <c r="I56" s="1133"/>
      <c r="J56" s="1133"/>
      <c r="K56" s="1133"/>
      <c r="L56" s="1133"/>
      <c r="O56" s="667"/>
      <c r="P56" s="667"/>
    </row>
    <row r="57" spans="1:16" ht="22.15" customHeight="1" thickTop="1" x14ac:dyDescent="0.25">
      <c r="A57" s="1121" t="s">
        <v>1513</v>
      </c>
      <c r="B57" s="1122"/>
      <c r="C57" s="1122"/>
      <c r="D57" s="1122"/>
      <c r="E57" s="678" t="s">
        <v>1640</v>
      </c>
      <c r="F57" s="679"/>
      <c r="G57" s="1123"/>
      <c r="H57" s="1124"/>
      <c r="I57" s="1125" t="s">
        <v>1500</v>
      </c>
      <c r="J57" s="1125"/>
      <c r="K57" s="1123"/>
      <c r="L57" s="1124"/>
      <c r="M57" s="677"/>
      <c r="O57" s="667"/>
      <c r="P57" s="667"/>
    </row>
    <row r="58" spans="1:16" ht="21.75" customHeight="1" x14ac:dyDescent="0.25">
      <c r="A58" s="1126"/>
      <c r="B58" s="1127"/>
      <c r="C58" s="1127"/>
      <c r="D58" s="1127"/>
      <c r="E58" s="1127"/>
      <c r="F58" s="1128"/>
      <c r="G58" s="1129" t="s">
        <v>1501</v>
      </c>
      <c r="H58" s="1129"/>
      <c r="I58" s="1129" t="s">
        <v>1502</v>
      </c>
      <c r="J58" s="1129"/>
      <c r="K58" s="1129" t="s">
        <v>1503</v>
      </c>
      <c r="L58" s="1130"/>
      <c r="O58" s="667"/>
      <c r="P58" s="667"/>
    </row>
    <row r="59" spans="1:16" ht="22.15" customHeight="1" x14ac:dyDescent="0.25">
      <c r="A59" s="1110" t="s">
        <v>1504</v>
      </c>
      <c r="B59" s="1111"/>
      <c r="C59" s="1111"/>
      <c r="D59" s="1111"/>
      <c r="E59" s="1111"/>
      <c r="F59" s="1112"/>
      <c r="G59" s="1113" t="str">
        <f>IF(K57&lt;=0,"",IF(G11="T2","",IF(G11="T3 IF IN ECA ELSE T2","",IF(K57&lt;130,17,IF(AND(K57&gt;=130,K57&lt;=1999),45*(K57^(-0.2)),IF(K57&gt;=2000,9.8))))))</f>
        <v/>
      </c>
      <c r="H59" s="1113"/>
      <c r="I59" s="1113" t="str">
        <f>IF(K57&lt;=0, "",IF(G11="T1", "",IF(K57&lt;130,14.4, IF(AND(K57&gt;=130, K57&lt;=1999), 44*(K57^(-0.23)), IF(K57&gt;=2000,  7.7)))))</f>
        <v/>
      </c>
      <c r="J59" s="1113"/>
      <c r="K59" s="1113" t="str">
        <f>IF(K57&lt;=0,"",IF(G11="T1","",IF(G11="T2","",IF(K57&lt;130,3.4,IF(AND(K57&gt;=130,K57&lt;=1999),9*(K57^(-0.2)),IF(K57&gt;=2000,2))))))</f>
        <v/>
      </c>
      <c r="L59" s="1114"/>
      <c r="M59" s="688"/>
      <c r="N59" s="666" t="b">
        <f>IF(AND(K57&lt;130,K57&gt;0),14.4, IF(AND(K57&gt;=130, K57&lt;=1999), 44*(K57^(-0.23)), IF(K57&gt;=2000,  7.7)))</f>
        <v>0</v>
      </c>
      <c r="O59" s="667"/>
      <c r="P59" s="667" t="s">
        <v>744</v>
      </c>
    </row>
    <row r="60" spans="1:16" ht="22.15" customHeight="1" x14ac:dyDescent="0.25">
      <c r="A60" s="1115" t="s">
        <v>1505</v>
      </c>
      <c r="B60" s="1116"/>
      <c r="C60" s="1116"/>
      <c r="D60" s="1116"/>
      <c r="E60" s="1116"/>
      <c r="F60" s="1117"/>
      <c r="G60" s="1118"/>
      <c r="H60" s="1118"/>
      <c r="I60" s="1118"/>
      <c r="J60" s="1118"/>
      <c r="K60" s="1118"/>
      <c r="L60" s="1119"/>
      <c r="M60" s="677"/>
      <c r="O60" s="667"/>
      <c r="P60" s="667"/>
    </row>
    <row r="61" spans="1:16" ht="22.15" customHeight="1" x14ac:dyDescent="0.25">
      <c r="A61" s="1134" t="s">
        <v>1506</v>
      </c>
      <c r="B61" s="1135"/>
      <c r="C61" s="1135"/>
      <c r="D61" s="1135"/>
      <c r="E61" s="1135"/>
      <c r="F61" s="1136"/>
      <c r="G61" s="1137" t="str">
        <f>IF(AND(G59&gt;0,G60&gt;0),(ROUND(G59,1)-G60)/ROUND(G59,1),IF(AND(G59=0,G60=0),"NA", "NA"))</f>
        <v>NA</v>
      </c>
      <c r="H61" s="1137"/>
      <c r="I61" s="1137" t="str">
        <f>IF(AND(I59&gt;0,I60&gt;0),(ROUND(I59,1)-I60)/ROUND(I59,1),IF(AND(I59=0,I60=0),"NA", "NA"))</f>
        <v>NA</v>
      </c>
      <c r="J61" s="1137"/>
      <c r="K61" s="1137" t="str">
        <f>IF(AND(K59&gt;0,K60&gt;0),(ROUND(K59,1)-K60)/ROUND(K59,1),IF(AND(K59=0,K60=0),"NA", "NA"))</f>
        <v>NA</v>
      </c>
      <c r="L61" s="1138"/>
      <c r="O61" s="667"/>
      <c r="P61" s="667"/>
    </row>
    <row r="62" spans="1:16" ht="16.5" thickBot="1" x14ac:dyDescent="0.3">
      <c r="A62" s="1139" t="s">
        <v>1507</v>
      </c>
      <c r="B62" s="1140"/>
      <c r="C62" s="1140"/>
      <c r="D62" s="1140"/>
      <c r="E62" s="1140"/>
      <c r="F62" s="1141"/>
      <c r="G62" s="1142" t="str">
        <f>IF(G61="NA","",IF(G57="MAIN","5410.11", IF(G57="AUXILIARY","5410.12")))</f>
        <v/>
      </c>
      <c r="H62" s="1143"/>
      <c r="I62" s="1142" t="str">
        <f>IF(I61="NA","",IF(AND(I61&lt;14.5%,G57="AUXILIARY"),"5410.14",IF(AND(I61&gt;=14.5%,I61&lt;29.5%,G57="AUXILIARY"),"5410.14",IF(AND(I61&gt;=29.5%,I61&lt;49.5%,G57="AUXILIARY"),"5410.16",IF(AND(I61&gt;=49.5%,G57="AUXILIARY"),"5410.18",IF(AND(I61&lt;14.5%,G57="MAIN"),"5410.13",IF(AND(I61&gt;=14.5%,I61&lt;29.5%,G57="MAIN"),"5410.13",IF(AND(I61&gt;=29.5%,I61&lt;49.5%,G57="MAIN"),"5410.15",IF(AND(I61&gt;=49.5%,G57="MAIN"),"5410.17","")))))))))</f>
        <v/>
      </c>
      <c r="J62" s="1143" t="str">
        <f>IF(D62="IN_NOX","NA",IF(D62="NA","NA",IF(AND(D62&gt;=14.5%,D62&lt;29.5%,B58="AUXILIARY"),"5410.14",IF(AND(D62&gt;=29.5%,D62&lt;49.5%,B58="AUXILIARY"),"5410.16",IF(AND(D62&gt;=49.5%,B58="AUXILIARY"),"5410.18",IF(AND(D62&gt;=14.5%,D62&lt;29.5%,B58="MAIN"),"5410.13",IF(AND(D62&gt;=29.5%,D62&lt;49.5%,B58="MAIN"),"5410.15",IF(AND(D62&gt;=49.5%,B58="MAIN"),"5410.17","NA"))))))))</f>
        <v>NA</v>
      </c>
      <c r="K62" s="1144"/>
      <c r="L62" s="1145"/>
      <c r="O62" s="667"/>
      <c r="P62" s="667"/>
    </row>
    <row r="63" spans="1:16" ht="17.25" thickTop="1" thickBot="1" x14ac:dyDescent="0.3">
      <c r="A63" s="1133"/>
      <c r="B63" s="1133"/>
      <c r="C63" s="1133"/>
      <c r="D63" s="1133"/>
      <c r="E63" s="1133"/>
      <c r="F63" s="1133"/>
      <c r="G63" s="1133"/>
      <c r="H63" s="1133"/>
      <c r="I63" s="1133"/>
      <c r="J63" s="1133"/>
      <c r="K63" s="1133"/>
      <c r="L63" s="1133"/>
      <c r="O63" s="667"/>
      <c r="P63" s="667"/>
    </row>
    <row r="64" spans="1:16" ht="22.15" customHeight="1" thickTop="1" x14ac:dyDescent="0.25">
      <c r="A64" s="1121" t="s">
        <v>1513</v>
      </c>
      <c r="B64" s="1122"/>
      <c r="C64" s="1122"/>
      <c r="D64" s="1122"/>
      <c r="E64" s="678" t="s">
        <v>1640</v>
      </c>
      <c r="F64" s="679"/>
      <c r="G64" s="1123"/>
      <c r="H64" s="1124"/>
      <c r="I64" s="1125" t="s">
        <v>1500</v>
      </c>
      <c r="J64" s="1125"/>
      <c r="K64" s="1123"/>
      <c r="L64" s="1124"/>
      <c r="M64" s="677"/>
      <c r="O64" s="667"/>
      <c r="P64" s="667"/>
    </row>
    <row r="65" spans="1:14" ht="22.15" customHeight="1" x14ac:dyDescent="0.25">
      <c r="A65" s="1126"/>
      <c r="B65" s="1127"/>
      <c r="C65" s="1127"/>
      <c r="D65" s="1127"/>
      <c r="E65" s="1127"/>
      <c r="F65" s="1128"/>
      <c r="G65" s="1129" t="s">
        <v>1501</v>
      </c>
      <c r="H65" s="1129"/>
      <c r="I65" s="1129" t="s">
        <v>1502</v>
      </c>
      <c r="J65" s="1129"/>
      <c r="K65" s="1129" t="s">
        <v>1503</v>
      </c>
      <c r="L65" s="1130"/>
    </row>
    <row r="66" spans="1:14" ht="22.15" customHeight="1" x14ac:dyDescent="0.25">
      <c r="A66" s="1110" t="s">
        <v>1504</v>
      </c>
      <c r="B66" s="1111"/>
      <c r="C66" s="1111"/>
      <c r="D66" s="1111"/>
      <c r="E66" s="1111"/>
      <c r="F66" s="1112"/>
      <c r="G66" s="1113" t="str">
        <f>IF(K64&lt;=0,"",IF(G11="T2","",IF(G11="T3 IF IN ECA ELSE T2","",IF(K64&lt;130,17,IF(AND(K64&gt;=130,K64&lt;=1999),45*(K64^(-0.2)),IF(K64&gt;=2000,9.8))))))</f>
        <v/>
      </c>
      <c r="H66" s="1113"/>
      <c r="I66" s="1113" t="str">
        <f>IF(K64&lt;=0,"",IF(G11="T1","",IF(K64&lt;130,14.4,IF(AND(K64&gt;=130,K64&lt;=1999),44*(K64^(-0.23)),IF(K64&gt;=2000,7.7)))))</f>
        <v/>
      </c>
      <c r="J66" s="1113"/>
      <c r="K66" s="1113" t="str">
        <f>IF(K64&lt;=0,"",IF(G11="T1","",IF(G11="T2","",IF(K64&lt;130,3.4,IF(AND(K64&gt;=130,K64&lt;=1999),9*(K64^(-0.2)),IF(K64&gt;=2000,2))))))</f>
        <v/>
      </c>
      <c r="L66" s="1114"/>
      <c r="M66" s="688"/>
      <c r="N66" s="666" t="b">
        <f>IF(AND(K64&lt;130,K64&gt;0),14.4, IF(AND(K64&gt;=130, K64&lt;=1999), 44*(K64^(-0.23)), IF(K64&gt;=2000,  7.7)))</f>
        <v>0</v>
      </c>
    </row>
    <row r="67" spans="1:14" ht="22.15" customHeight="1" x14ac:dyDescent="0.25">
      <c r="A67" s="1115" t="s">
        <v>1505</v>
      </c>
      <c r="B67" s="1116"/>
      <c r="C67" s="1116"/>
      <c r="D67" s="1116"/>
      <c r="E67" s="1116"/>
      <c r="F67" s="1117"/>
      <c r="G67" s="1118"/>
      <c r="H67" s="1118"/>
      <c r="I67" s="1118"/>
      <c r="J67" s="1118"/>
      <c r="K67" s="1118"/>
      <c r="L67" s="1119"/>
      <c r="M67" s="677"/>
    </row>
    <row r="68" spans="1:14" ht="22.15" customHeight="1" thickBot="1" x14ac:dyDescent="0.3">
      <c r="A68" s="1098" t="s">
        <v>1506</v>
      </c>
      <c r="B68" s="1099"/>
      <c r="C68" s="1099"/>
      <c r="D68" s="1099"/>
      <c r="E68" s="1099"/>
      <c r="F68" s="1100"/>
      <c r="G68" s="1101" t="str">
        <f>IF(AND(G66&gt;0,G67&gt;0),(ROUND(G66,1)-G67)/ROUND(G66,1),IF(AND(G66=0,G67=0),"NA", "NA"))</f>
        <v>NA</v>
      </c>
      <c r="H68" s="1101"/>
      <c r="I68" s="1101" t="str">
        <f>IF(AND(I66&gt;0,I67&gt;0),(ROUND(I66,1)-I67)/ROUND(I66,1),IF(AND(I66=0,I67=0),"NA", "NA"))</f>
        <v>NA</v>
      </c>
      <c r="J68" s="1101"/>
      <c r="K68" s="1101" t="str">
        <f>IF(AND(K66&gt;0,K67&gt;0),(ROUND(K66,1)-K67)/ROUND(K66,1),IF(AND(K66=0,K67=0),"NA", "NA"))</f>
        <v>NA</v>
      </c>
      <c r="L68" s="1102"/>
    </row>
    <row r="69" spans="1:14" ht="17.25" thickTop="1" thickBot="1" x14ac:dyDescent="0.3">
      <c r="A69" s="1103" t="s">
        <v>1507</v>
      </c>
      <c r="B69" s="1104"/>
      <c r="C69" s="1104"/>
      <c r="D69" s="1104"/>
      <c r="E69" s="1104"/>
      <c r="F69" s="1105"/>
      <c r="G69" s="1106" t="str">
        <f>IF(G68="NA","",IF(G64="MAIN","5410.11",IF(G64="AUXILIARY","5410.12","")))</f>
        <v/>
      </c>
      <c r="H69" s="1107"/>
      <c r="I69" s="1106" t="str">
        <f>IF(I68="NA","",IF(AND(I68&lt;14.5%,G64="AUXILIARY"),"5410.14",IF(AND(I68&gt;=14.5%,I68&lt;29.5%,G64="AUXILIARY"),"5410.14",IF(AND(I68&gt;=29.5%,I68&lt;49.5%,G64="AUXILIARY"),"5410.16",IF(AND(I68&gt;=49.5%,G64="AUXILIARY"),"5410.18",IF(AND(I68&lt;14.5%,G64="MAIN"),"5410.13",IF(AND(I68&gt;=14.5%,I68&lt;29.5%,G64="MAIN"),"5410.13",IF(AND(I68&gt;=29.5%,I68&lt;49.5%,G64="MAIN"),"5410.15",IF(AND(I68&gt;=49.5%,G64="MAIN"),"5410.17","")))))))))</f>
        <v/>
      </c>
      <c r="J69" s="1107" t="str">
        <f>IF(D69="IN_NOX","NA",IF(D69="NA","NA",IF(AND(D69&gt;=14.5%,D69&lt;29.5%,B65="AUXILIARY"),"5410.14",IF(AND(D69&gt;=29.5%,D69&lt;49.5%,B65="AUXILIARY"),"5410.16",IF(AND(D69&gt;=49.5%,B65="AUXILIARY"),"5410.18",IF(AND(D69&gt;=14.5%,D69&lt;29.5%,B65="MAIN"),"5410.13",IF(AND(D69&gt;=29.5%,D69&lt;49.5%,B65="MAIN"),"5410.15",IF(AND(D69&gt;=49.5%,B65="MAIN"),"5410.17","NA"))))))))</f>
        <v>NA</v>
      </c>
      <c r="K69" s="1131"/>
      <c r="L69" s="1132"/>
    </row>
    <row r="70" spans="1:14" ht="17.25" thickTop="1" thickBot="1" x14ac:dyDescent="0.3">
      <c r="A70" s="1120"/>
      <c r="B70" s="1120"/>
      <c r="C70" s="1120"/>
      <c r="D70" s="1120"/>
      <c r="E70" s="1120"/>
      <c r="F70" s="1120"/>
      <c r="G70" s="1120"/>
      <c r="H70" s="1120"/>
      <c r="I70" s="1120"/>
      <c r="J70" s="1120"/>
      <c r="K70" s="1120"/>
      <c r="L70" s="1120"/>
    </row>
    <row r="71" spans="1:14" ht="21.75" customHeight="1" thickTop="1" x14ac:dyDescent="0.25">
      <c r="A71" s="1121" t="s">
        <v>1513</v>
      </c>
      <c r="B71" s="1122"/>
      <c r="C71" s="1122"/>
      <c r="D71" s="1122"/>
      <c r="E71" s="678" t="s">
        <v>1640</v>
      </c>
      <c r="F71" s="679"/>
      <c r="G71" s="1123"/>
      <c r="H71" s="1124"/>
      <c r="I71" s="1125" t="s">
        <v>1500</v>
      </c>
      <c r="J71" s="1125"/>
      <c r="K71" s="1123"/>
      <c r="L71" s="1124"/>
      <c r="M71" s="677"/>
    </row>
    <row r="72" spans="1:14" ht="21.75" customHeight="1" x14ac:dyDescent="0.25">
      <c r="A72" s="1126"/>
      <c r="B72" s="1127"/>
      <c r="C72" s="1127"/>
      <c r="D72" s="1127"/>
      <c r="E72" s="1127"/>
      <c r="F72" s="1128"/>
      <c r="G72" s="1129" t="s">
        <v>1501</v>
      </c>
      <c r="H72" s="1129"/>
      <c r="I72" s="1129" t="s">
        <v>1502</v>
      </c>
      <c r="J72" s="1129"/>
      <c r="K72" s="1129" t="s">
        <v>1503</v>
      </c>
      <c r="L72" s="1130"/>
    </row>
    <row r="73" spans="1:14" ht="21.75" customHeight="1" x14ac:dyDescent="0.25">
      <c r="A73" s="1110" t="s">
        <v>1504</v>
      </c>
      <c r="B73" s="1111"/>
      <c r="C73" s="1111"/>
      <c r="D73" s="1111"/>
      <c r="E73" s="1111"/>
      <c r="F73" s="1112"/>
      <c r="G73" s="1113" t="str">
        <f>IF(K71&lt;=0,"",IF(G11="T2","",IF(G11="T3 IF IN ECA ELSE T2","",IF(K71&lt;130,17,IF(AND(K71&gt;=130,K71&lt;=1999),45*(K71^(-0.2)),IF(K71&gt;=2000,9.8))))))</f>
        <v/>
      </c>
      <c r="H73" s="1113"/>
      <c r="I73" s="1113" t="str">
        <f>IF(K71&lt;=0,"",IF(G11="T1","",IF(K71&lt;130,14.4,IF(AND(K71&gt;=130,K71&lt;=1999),44*(K71^(-0.23)),IF(K71&gt;=2000,7.7)))))</f>
        <v/>
      </c>
      <c r="J73" s="1113"/>
      <c r="K73" s="1113" t="str">
        <f>IF(K71&lt;=0,"",IF(G11="T1","",IF(G11="T2","",IF(K71&lt;130,3.4,IF(AND(K71&gt;=130,K71&lt;=1999),9*(K71^(-0.2)),IF(K71&gt;=2000,2))))))</f>
        <v/>
      </c>
      <c r="L73" s="1114"/>
      <c r="M73" s="688"/>
      <c r="N73" s="666" t="b">
        <f>IF(AND(K71&lt;130,K71&gt;0),14.4, IF(AND(K71&gt;=130, K71&lt;=1999), 44*(K71^(-0.23)), IF(K71&gt;=2000,  7.7)))</f>
        <v>0</v>
      </c>
    </row>
    <row r="74" spans="1:14" ht="21.75" customHeight="1" x14ac:dyDescent="0.25">
      <c r="A74" s="1115" t="s">
        <v>1505</v>
      </c>
      <c r="B74" s="1116"/>
      <c r="C74" s="1116"/>
      <c r="D74" s="1116"/>
      <c r="E74" s="1116"/>
      <c r="F74" s="1117"/>
      <c r="G74" s="1118"/>
      <c r="H74" s="1118"/>
      <c r="I74" s="1118"/>
      <c r="J74" s="1118"/>
      <c r="K74" s="1118"/>
      <c r="L74" s="1119"/>
      <c r="M74" s="677"/>
    </row>
    <row r="75" spans="1:14" ht="21.75" customHeight="1" thickBot="1" x14ac:dyDescent="0.3">
      <c r="A75" s="1098" t="s">
        <v>1506</v>
      </c>
      <c r="B75" s="1099"/>
      <c r="C75" s="1099"/>
      <c r="D75" s="1099"/>
      <c r="E75" s="1099"/>
      <c r="F75" s="1100"/>
      <c r="G75" s="1101" t="str">
        <f>IF(AND(G73&gt;0,G74&gt;0),(ROUND(G73,1)-G74)/ROUND(G73,1),IF(AND(G73=0,G74=0),"NA", "NA"))</f>
        <v>NA</v>
      </c>
      <c r="H75" s="1101"/>
      <c r="I75" s="1101" t="str">
        <f>IF(AND(I73&gt;0,I74&gt;0),(ROUND(I73,1)-I74)/ROUND(I73,1),IF(AND(I73=0,I74=0),"NA", "NA"))</f>
        <v>NA</v>
      </c>
      <c r="J75" s="1101"/>
      <c r="K75" s="1101" t="str">
        <f>IF(AND(K73&gt;0,K74&gt;0),(ROUND(K73,1)-K74)/ROUND(K73,1),IF(AND(K73=0,K74=0),"NA", "NA"))</f>
        <v>NA</v>
      </c>
      <c r="L75" s="1102"/>
    </row>
    <row r="76" spans="1:14" ht="17.25" thickTop="1" thickBot="1" x14ac:dyDescent="0.3">
      <c r="A76" s="1103" t="s">
        <v>1507</v>
      </c>
      <c r="B76" s="1104"/>
      <c r="C76" s="1104"/>
      <c r="D76" s="1104"/>
      <c r="E76" s="1104"/>
      <c r="F76" s="1105"/>
      <c r="G76" s="1106" t="str">
        <f>IF(G75="NA","",IF(G71="MAIN","5410.11",IF(G71="AUXILIARY","5410.12","")))</f>
        <v/>
      </c>
      <c r="H76" s="1107"/>
      <c r="I76" s="1106" t="str">
        <f>IF(I75="NA","",IF(AND(I75&lt;14.5%,G71="AUXILIARY"),"5410.14",IF(AND(I75&gt;=14.5%,I75&lt;29.5%,G71="AUXILIARY"),"5410.14",IF(AND(I75&gt;=29.5%,I75&lt;49.5%,G71="AUXILIARY"),"5410.16",IF(AND(I75&gt;=49.5%,G71="AUXILIARY"),"5410.18",IF(AND(I75&lt;14.5%,G71="MAIN"),"5410.13",IF(AND(I75&gt;=14.5%,I75&lt;29.5%,G71="MAIN"),"5410.13",IF(AND(I75&gt;=29.5%,I75&lt;49.5%,G71="MAIN"),"5410.15",IF(AND(I75&gt;=49.5%,G71="MAIN"),"5410.17","")))))))))</f>
        <v/>
      </c>
      <c r="J76" s="1107" t="str">
        <f>IF(D76="IN_NOX","NA",IF(D76="NA","NA",IF(AND(D76&gt;=14.5%,D76&lt;29.5%,B72="AUXILIARY"),"5410.14",IF(AND(D76&gt;=29.5%,D76&lt;49.5%,B72="AUXILIARY"),"5410.16",IF(AND(D76&gt;=49.5%,B72="AUXILIARY"),"5410.18",IF(AND(D76&gt;=14.5%,D76&lt;29.5%,B72="MAIN"),"5410.13",IF(AND(D76&gt;=29.5%,D76&lt;49.5%,B72="MAIN"),"5410.15",IF(AND(D76&gt;=49.5%,B72="MAIN"),"5410.17","NA"))))))))</f>
        <v>NA</v>
      </c>
      <c r="K76" s="1108"/>
      <c r="L76" s="1109"/>
    </row>
    <row r="77" spans="1:14" ht="16.5" thickTop="1" x14ac:dyDescent="0.25">
      <c r="A77" s="1097"/>
      <c r="B77" s="1097"/>
      <c r="C77" s="1097"/>
      <c r="D77" s="1097"/>
      <c r="E77" s="1097"/>
      <c r="F77" s="1097"/>
      <c r="G77" s="1097"/>
      <c r="H77" s="1097"/>
      <c r="I77" s="1097"/>
      <c r="J77" s="1097"/>
      <c r="K77" s="1097"/>
      <c r="L77" s="1097"/>
    </row>
  </sheetData>
  <sheetProtection algorithmName="SHA-512" hashValue="sqD4Qh0IlUjUJO75BOk2S9icI9Z8QGQ4P5WOnIquus0d9NrYV8V9U3cOIZweINdvcHkYtgdFjdR0hplfkkFOBw==" saltValue="G3dGVXvUBh8vUbaAO5NYVQ==" spinCount="100000" sheet="1" objects="1" scenarios="1"/>
  <mergeCells count="243">
    <mergeCell ref="A1:C2"/>
    <mergeCell ref="D1:D2"/>
    <mergeCell ref="G1:L2"/>
    <mergeCell ref="A3:L3"/>
    <mergeCell ref="A4:L4"/>
    <mergeCell ref="A5:L5"/>
    <mergeCell ref="A10:F10"/>
    <mergeCell ref="G10:L10"/>
    <mergeCell ref="A11:F11"/>
    <mergeCell ref="G11:L11"/>
    <mergeCell ref="A12:F12"/>
    <mergeCell ref="G12:L12"/>
    <mergeCell ref="A6:F6"/>
    <mergeCell ref="G6:L6"/>
    <mergeCell ref="A7:F7"/>
    <mergeCell ref="G7:L7"/>
    <mergeCell ref="A9:F9"/>
    <mergeCell ref="G9:L9"/>
    <mergeCell ref="A13:L14"/>
    <mergeCell ref="A15:D15"/>
    <mergeCell ref="G15:H15"/>
    <mergeCell ref="I15:J15"/>
    <mergeCell ref="K15:L15"/>
    <mergeCell ref="A16:F16"/>
    <mergeCell ref="G16:H16"/>
    <mergeCell ref="I16:J16"/>
    <mergeCell ref="K16:L16"/>
    <mergeCell ref="A19:F19"/>
    <mergeCell ref="G19:H19"/>
    <mergeCell ref="I19:J19"/>
    <mergeCell ref="K19:L19"/>
    <mergeCell ref="A20:F20"/>
    <mergeCell ref="G20:H20"/>
    <mergeCell ref="I20:J20"/>
    <mergeCell ref="K20:L20"/>
    <mergeCell ref="A17:F17"/>
    <mergeCell ref="G17:H17"/>
    <mergeCell ref="I17:J17"/>
    <mergeCell ref="K17:L17"/>
    <mergeCell ref="A18:F18"/>
    <mergeCell ref="G18:H18"/>
    <mergeCell ref="I18:J18"/>
    <mergeCell ref="K18:L18"/>
    <mergeCell ref="A21:L21"/>
    <mergeCell ref="A22:D22"/>
    <mergeCell ref="G22:H22"/>
    <mergeCell ref="I22:J22"/>
    <mergeCell ref="K22:L22"/>
    <mergeCell ref="A23:F23"/>
    <mergeCell ref="G23:H23"/>
    <mergeCell ref="I23:J23"/>
    <mergeCell ref="K23:L23"/>
    <mergeCell ref="A26:F26"/>
    <mergeCell ref="G26:H26"/>
    <mergeCell ref="I26:J26"/>
    <mergeCell ref="K26:L26"/>
    <mergeCell ref="A27:F27"/>
    <mergeCell ref="G27:H27"/>
    <mergeCell ref="I27:J27"/>
    <mergeCell ref="K27:L27"/>
    <mergeCell ref="A24:F24"/>
    <mergeCell ref="G24:H24"/>
    <mergeCell ref="I24:J24"/>
    <mergeCell ref="K24:L24"/>
    <mergeCell ref="A25:F25"/>
    <mergeCell ref="G25:H25"/>
    <mergeCell ref="I25:J25"/>
    <mergeCell ref="K25:L25"/>
    <mergeCell ref="A28:L28"/>
    <mergeCell ref="A29:D29"/>
    <mergeCell ref="G29:H29"/>
    <mergeCell ref="I29:J29"/>
    <mergeCell ref="K29:L29"/>
    <mergeCell ref="A30:F30"/>
    <mergeCell ref="G30:H30"/>
    <mergeCell ref="I30:J30"/>
    <mergeCell ref="K30:L30"/>
    <mergeCell ref="A33:F33"/>
    <mergeCell ref="G33:H33"/>
    <mergeCell ref="I33:J33"/>
    <mergeCell ref="K33:L33"/>
    <mergeCell ref="A34:F34"/>
    <mergeCell ref="G34:H34"/>
    <mergeCell ref="I34:J34"/>
    <mergeCell ref="K34:L34"/>
    <mergeCell ref="A31:F31"/>
    <mergeCell ref="G31:H31"/>
    <mergeCell ref="I31:J31"/>
    <mergeCell ref="K31:L31"/>
    <mergeCell ref="A32:F32"/>
    <mergeCell ref="G32:H32"/>
    <mergeCell ref="I32:J32"/>
    <mergeCell ref="K32:L32"/>
    <mergeCell ref="A38:F38"/>
    <mergeCell ref="G38:H38"/>
    <mergeCell ref="I38:J38"/>
    <mergeCell ref="K38:L38"/>
    <mergeCell ref="A39:F39"/>
    <mergeCell ref="G39:H39"/>
    <mergeCell ref="I39:J39"/>
    <mergeCell ref="K39:L39"/>
    <mergeCell ref="A35:L35"/>
    <mergeCell ref="A36:D36"/>
    <mergeCell ref="G36:H36"/>
    <mergeCell ref="I36:J36"/>
    <mergeCell ref="K36:L36"/>
    <mergeCell ref="A37:F37"/>
    <mergeCell ref="G37:H37"/>
    <mergeCell ref="I37:J37"/>
    <mergeCell ref="K37:L37"/>
    <mergeCell ref="A42:L42"/>
    <mergeCell ref="G43:H43"/>
    <mergeCell ref="I43:J43"/>
    <mergeCell ref="K43:L43"/>
    <mergeCell ref="A44:F44"/>
    <mergeCell ref="G44:H44"/>
    <mergeCell ref="I44:J44"/>
    <mergeCell ref="K44:L44"/>
    <mergeCell ref="A40:F40"/>
    <mergeCell ref="G40:H40"/>
    <mergeCell ref="I40:J40"/>
    <mergeCell ref="K40:L40"/>
    <mergeCell ref="A41:F41"/>
    <mergeCell ref="G41:H41"/>
    <mergeCell ref="I41:J41"/>
    <mergeCell ref="K41:L41"/>
    <mergeCell ref="A47:F47"/>
    <mergeCell ref="G47:H47"/>
    <mergeCell ref="I47:J47"/>
    <mergeCell ref="K47:L47"/>
    <mergeCell ref="A48:F48"/>
    <mergeCell ref="G48:H48"/>
    <mergeCell ref="I48:J48"/>
    <mergeCell ref="K48:L48"/>
    <mergeCell ref="A45:F45"/>
    <mergeCell ref="G45:H45"/>
    <mergeCell ref="I45:J45"/>
    <mergeCell ref="K45:L45"/>
    <mergeCell ref="A46:F46"/>
    <mergeCell ref="G46:H46"/>
    <mergeCell ref="I46:J46"/>
    <mergeCell ref="K46:L46"/>
    <mergeCell ref="A49:L49"/>
    <mergeCell ref="A50:D50"/>
    <mergeCell ref="G50:H50"/>
    <mergeCell ref="I50:J50"/>
    <mergeCell ref="K50:L50"/>
    <mergeCell ref="A51:F51"/>
    <mergeCell ref="G51:H51"/>
    <mergeCell ref="I51:J51"/>
    <mergeCell ref="K51:L51"/>
    <mergeCell ref="A54:F54"/>
    <mergeCell ref="G54:H54"/>
    <mergeCell ref="I54:J54"/>
    <mergeCell ref="K54:L54"/>
    <mergeCell ref="A55:F55"/>
    <mergeCell ref="G55:H55"/>
    <mergeCell ref="I55:J55"/>
    <mergeCell ref="K55:L55"/>
    <mergeCell ref="A52:F52"/>
    <mergeCell ref="G52:H52"/>
    <mergeCell ref="I52:J52"/>
    <mergeCell ref="K52:L52"/>
    <mergeCell ref="A53:F53"/>
    <mergeCell ref="G53:H53"/>
    <mergeCell ref="I53:J53"/>
    <mergeCell ref="K53:L53"/>
    <mergeCell ref="A56:L56"/>
    <mergeCell ref="A57:D57"/>
    <mergeCell ref="G57:H57"/>
    <mergeCell ref="I57:J57"/>
    <mergeCell ref="K57:L57"/>
    <mergeCell ref="A58:F58"/>
    <mergeCell ref="G58:H58"/>
    <mergeCell ref="I58:J58"/>
    <mergeCell ref="K58:L58"/>
    <mergeCell ref="A61:F61"/>
    <mergeCell ref="G61:H61"/>
    <mergeCell ref="I61:J61"/>
    <mergeCell ref="K61:L61"/>
    <mergeCell ref="A62:F62"/>
    <mergeCell ref="G62:H62"/>
    <mergeCell ref="I62:J62"/>
    <mergeCell ref="K62:L62"/>
    <mergeCell ref="A59:F59"/>
    <mergeCell ref="G59:H59"/>
    <mergeCell ref="I59:J59"/>
    <mergeCell ref="K59:L59"/>
    <mergeCell ref="A60:F60"/>
    <mergeCell ref="G60:H60"/>
    <mergeCell ref="I60:J60"/>
    <mergeCell ref="K60:L60"/>
    <mergeCell ref="A63:L63"/>
    <mergeCell ref="A64:D64"/>
    <mergeCell ref="G64:H64"/>
    <mergeCell ref="I64:J64"/>
    <mergeCell ref="K64:L64"/>
    <mergeCell ref="A65:F65"/>
    <mergeCell ref="G65:H65"/>
    <mergeCell ref="I65:J65"/>
    <mergeCell ref="K65:L65"/>
    <mergeCell ref="A68:F68"/>
    <mergeCell ref="G68:H68"/>
    <mergeCell ref="I68:J68"/>
    <mergeCell ref="K68:L68"/>
    <mergeCell ref="A69:F69"/>
    <mergeCell ref="G69:H69"/>
    <mergeCell ref="I69:J69"/>
    <mergeCell ref="K69:L69"/>
    <mergeCell ref="A66:F66"/>
    <mergeCell ref="G66:H66"/>
    <mergeCell ref="I66:J66"/>
    <mergeCell ref="K66:L66"/>
    <mergeCell ref="A67:F67"/>
    <mergeCell ref="G67:H67"/>
    <mergeCell ref="I67:J67"/>
    <mergeCell ref="K67:L67"/>
    <mergeCell ref="A73:F73"/>
    <mergeCell ref="G73:H73"/>
    <mergeCell ref="I73:J73"/>
    <mergeCell ref="K73:L73"/>
    <mergeCell ref="A74:F74"/>
    <mergeCell ref="G74:H74"/>
    <mergeCell ref="I74:J74"/>
    <mergeCell ref="K74:L74"/>
    <mergeCell ref="A70:L70"/>
    <mergeCell ref="A71:D71"/>
    <mergeCell ref="G71:H71"/>
    <mergeCell ref="I71:J71"/>
    <mergeCell ref="K71:L71"/>
    <mergeCell ref="A72:F72"/>
    <mergeCell ref="G72:H72"/>
    <mergeCell ref="I72:J72"/>
    <mergeCell ref="K72:L72"/>
    <mergeCell ref="A77:L77"/>
    <mergeCell ref="A75:F75"/>
    <mergeCell ref="G75:H75"/>
    <mergeCell ref="I75:J75"/>
    <mergeCell ref="K75:L75"/>
    <mergeCell ref="A76:F76"/>
    <mergeCell ref="G76:H76"/>
    <mergeCell ref="I76:J76"/>
    <mergeCell ref="K76:L76"/>
  </mergeCells>
  <conditionalFormatting sqref="G17:H18 G24:H25 G31:H32 G45:H46 G52:H53 G59:H60 G66:H67 G73:H74">
    <cfRule type="expression" dxfId="238" priority="198">
      <formula>COUNTIF($G$11,"T3 IF IN ECA ELSE T2")</formula>
    </cfRule>
  </conditionalFormatting>
  <conditionalFormatting sqref="G17:H18 K17:L18 G24:H25 K24:L25 G31:H32 K31:L32 K38:L39 G45:H46 K45:L46 G52:H53 K52:L53 G59:H60 K59:L60 G66:H67 K66:L67 G73:H74 K73:L74">
    <cfRule type="expression" dxfId="237" priority="197">
      <formula>COUNTIF($G$11,"T2")</formula>
    </cfRule>
  </conditionalFormatting>
  <conditionalFormatting sqref="G19:H19">
    <cfRule type="expression" dxfId="236" priority="33">
      <formula>$G$18&gt;ROUND($G$17,1)</formula>
    </cfRule>
    <cfRule type="expression" dxfId="235" priority="162">
      <formula>$G$18&lt;=ROUND($N$17,1)</formula>
    </cfRule>
  </conditionalFormatting>
  <conditionalFormatting sqref="G20:H20">
    <cfRule type="expression" dxfId="234" priority="170">
      <formula>$G$20="5410.11"</formula>
    </cfRule>
    <cfRule type="expression" dxfId="233" priority="169">
      <formula>$G$18&gt;$N$17</formula>
    </cfRule>
  </conditionalFormatting>
  <conditionalFormatting sqref="G26:H26">
    <cfRule type="expression" dxfId="232" priority="32">
      <formula>$G$25&gt;ROUND($G$24,1)</formula>
    </cfRule>
    <cfRule type="expression" dxfId="231" priority="113">
      <formula>$G$25&lt;=$N$24</formula>
    </cfRule>
  </conditionalFormatting>
  <conditionalFormatting sqref="G27:H27">
    <cfRule type="expression" dxfId="230" priority="172">
      <formula>$G$27="5410.11"</formula>
    </cfRule>
    <cfRule type="expression" dxfId="229" priority="171">
      <formula>$G$25&gt;$N$24</formula>
    </cfRule>
  </conditionalFormatting>
  <conditionalFormatting sqref="G33:H33">
    <cfRule type="expression" dxfId="228" priority="31">
      <formula>$G$32&gt;ROUND($G$31,1)</formula>
    </cfRule>
    <cfRule type="expression" dxfId="227" priority="159">
      <formula>$G$32&lt;=$N$31</formula>
    </cfRule>
  </conditionalFormatting>
  <conditionalFormatting sqref="G34:H34">
    <cfRule type="expression" dxfId="226" priority="174">
      <formula>$G$34="5410.12"</formula>
    </cfRule>
    <cfRule type="expression" dxfId="225" priority="173">
      <formula>$G$32&gt;$N$31</formula>
    </cfRule>
  </conditionalFormatting>
  <conditionalFormatting sqref="G38:H39">
    <cfRule type="expression" dxfId="224" priority="200">
      <formula>COUNTIF($G$11,"T2")</formula>
    </cfRule>
    <cfRule type="expression" dxfId="223" priority="199">
      <formula>COUNTIF($G$11,"T3 IF IN ECA ELSE T2")</formula>
    </cfRule>
  </conditionalFormatting>
  <conditionalFormatting sqref="G40:H40">
    <cfRule type="expression" dxfId="222" priority="30">
      <formula>$G$39&gt;ROUND($G$38,1)</formula>
    </cfRule>
    <cfRule type="expression" dxfId="221" priority="103">
      <formula>$G$39&lt;=$N$38</formula>
    </cfRule>
  </conditionalFormatting>
  <conditionalFormatting sqref="G41:H41">
    <cfRule type="expression" dxfId="220" priority="175">
      <formula>$G$39&gt;$N$38</formula>
    </cfRule>
    <cfRule type="expression" dxfId="219" priority="176">
      <formula>$G$41="5410.12"</formula>
    </cfRule>
  </conditionalFormatting>
  <conditionalFormatting sqref="G47:H47">
    <cfRule type="expression" dxfId="218" priority="29">
      <formula>$G$46&gt;ROUND($G$45,1)</formula>
    </cfRule>
    <cfRule type="expression" dxfId="217" priority="93">
      <formula>$G$46&lt;=$N$45</formula>
    </cfRule>
  </conditionalFormatting>
  <conditionalFormatting sqref="G48:H48">
    <cfRule type="expression" dxfId="216" priority="178">
      <formula>$G$48="5410.12"</formula>
    </cfRule>
    <cfRule type="expression" dxfId="215" priority="177">
      <formula>$G$46&gt;$N$45</formula>
    </cfRule>
  </conditionalFormatting>
  <conditionalFormatting sqref="G54:H54">
    <cfRule type="expression" dxfId="214" priority="28">
      <formula>$G$53&gt;ROUND($G$52,1)</formula>
    </cfRule>
    <cfRule type="expression" dxfId="213" priority="83">
      <formula>$G$53&lt;=$N$52</formula>
    </cfRule>
  </conditionalFormatting>
  <conditionalFormatting sqref="G55:H55">
    <cfRule type="expression" dxfId="212" priority="179">
      <formula>$G$53&gt;$N$52</formula>
    </cfRule>
    <cfRule type="expression" dxfId="211" priority="180">
      <formula>$G$55="5410.12"</formula>
    </cfRule>
  </conditionalFormatting>
  <conditionalFormatting sqref="G57:H57">
    <cfRule type="expression" dxfId="210" priority="7" stopIfTrue="1">
      <formula>$F$57="na"</formula>
    </cfRule>
  </conditionalFormatting>
  <conditionalFormatting sqref="G61:H61">
    <cfRule type="expression" dxfId="209" priority="27">
      <formula>$G$60&gt;ROUND($G$59,1)</formula>
    </cfRule>
    <cfRule type="expression" dxfId="208" priority="145">
      <formula>$G$60&lt;=$N$59</formula>
    </cfRule>
  </conditionalFormatting>
  <conditionalFormatting sqref="G62:H62">
    <cfRule type="expression" dxfId="207" priority="181">
      <formula>$G$60&gt;$N$59</formula>
    </cfRule>
    <cfRule type="expression" dxfId="206" priority="182">
      <formula>$G$62="5410.11"</formula>
    </cfRule>
    <cfRule type="expression" dxfId="205" priority="183">
      <formula>$G$62="5410.12"</formula>
    </cfRule>
  </conditionalFormatting>
  <conditionalFormatting sqref="G64:H64">
    <cfRule type="expression" dxfId="204" priority="5" stopIfTrue="1">
      <formula>$F$64="na"</formula>
    </cfRule>
  </conditionalFormatting>
  <conditionalFormatting sqref="G68:H68">
    <cfRule type="expression" dxfId="203" priority="26">
      <formula>$G$67&gt;ROUND($G$66,1)</formula>
    </cfRule>
    <cfRule type="expression" dxfId="202" priority="138">
      <formula>$G$67&lt;=$N$66</formula>
    </cfRule>
  </conditionalFormatting>
  <conditionalFormatting sqref="G69:H69">
    <cfRule type="expression" dxfId="201" priority="186">
      <formula>$G$69="5410.11"</formula>
    </cfRule>
    <cfRule type="expression" dxfId="200" priority="185">
      <formula>$G$69="5410.12"</formula>
    </cfRule>
    <cfRule type="expression" dxfId="199" priority="184">
      <formula>$G$67&gt;$N$66</formula>
    </cfRule>
  </conditionalFormatting>
  <conditionalFormatting sqref="G71:H71">
    <cfRule type="expression" dxfId="198" priority="3" stopIfTrue="1">
      <formula>$F$71="na"</formula>
    </cfRule>
  </conditionalFormatting>
  <conditionalFormatting sqref="G75:H75">
    <cfRule type="expression" dxfId="197" priority="73">
      <formula>$G$74&lt;=$N$73</formula>
    </cfRule>
    <cfRule type="expression" dxfId="196" priority="25">
      <formula>$G$74&gt;ROUND($G$73,1)</formula>
    </cfRule>
  </conditionalFormatting>
  <conditionalFormatting sqref="G76:H76">
    <cfRule type="expression" dxfId="195" priority="189">
      <formula>$G$76="5410.11"</formula>
    </cfRule>
    <cfRule type="expression" dxfId="194" priority="188">
      <formula>$G$76="5410.12"</formula>
    </cfRule>
    <cfRule type="expression" dxfId="193" priority="187">
      <formula>$G$74&gt;$N$73</formula>
    </cfRule>
  </conditionalFormatting>
  <conditionalFormatting sqref="G19:J19">
    <cfRule type="containsText" dxfId="192" priority="152" operator="containsText" text="NA">
      <formula>NOT(ISERROR(SEARCH("NA",G19)))</formula>
    </cfRule>
  </conditionalFormatting>
  <conditionalFormatting sqref="G26:J26">
    <cfRule type="containsText" dxfId="191" priority="108" operator="containsText" text="NA">
      <formula>NOT(ISERROR(SEARCH("NA",G26)))</formula>
    </cfRule>
  </conditionalFormatting>
  <conditionalFormatting sqref="G33:J33">
    <cfRule type="containsText" dxfId="190" priority="151" operator="containsText" text="NA">
      <formula>NOT(ISERROR(SEARCH("NA",G33)))</formula>
    </cfRule>
  </conditionalFormatting>
  <conditionalFormatting sqref="G40:J40">
    <cfRule type="containsText" dxfId="189" priority="98" operator="containsText" text="NA">
      <formula>NOT(ISERROR(SEARCH("NA",G40)))</formula>
    </cfRule>
  </conditionalFormatting>
  <conditionalFormatting sqref="G47:J47">
    <cfRule type="containsText" dxfId="188" priority="88" operator="containsText" text="NA">
      <formula>NOT(ISERROR(SEARCH("NA",G47)))</formula>
    </cfRule>
  </conditionalFormatting>
  <conditionalFormatting sqref="G54:J54">
    <cfRule type="containsText" dxfId="187" priority="78" operator="containsText" text="NA">
      <formula>NOT(ISERROR(SEARCH("NA",G54)))</formula>
    </cfRule>
  </conditionalFormatting>
  <conditionalFormatting sqref="G61:J61">
    <cfRule type="containsText" dxfId="186" priority="140" operator="containsText" text="NA">
      <formula>NOT(ISERROR(SEARCH("NA",G61)))</formula>
    </cfRule>
  </conditionalFormatting>
  <conditionalFormatting sqref="G68:J68">
    <cfRule type="containsText" dxfId="185" priority="133" operator="containsText" text="NA">
      <formula>NOT(ISERROR(SEARCH("NA",G68)))</formula>
    </cfRule>
  </conditionalFormatting>
  <conditionalFormatting sqref="G75:J75">
    <cfRule type="containsText" dxfId="184" priority="68" operator="containsText" text="NA">
      <formula>NOT(ISERROR(SEARCH("NA",G75)))</formula>
    </cfRule>
  </conditionalFormatting>
  <conditionalFormatting sqref="G7:L7">
    <cfRule type="expression" dxfId="183" priority="149">
      <formula>$G$7="S"</formula>
    </cfRule>
    <cfRule type="expression" dxfId="182" priority="150">
      <formula>$G$7="A"</formula>
    </cfRule>
    <cfRule type="expression" dxfId="181" priority="163">
      <formula>$G$7="N"</formula>
    </cfRule>
    <cfRule type="expression" dxfId="180" priority="164">
      <formula>$G$7="Y"</formula>
    </cfRule>
  </conditionalFormatting>
  <conditionalFormatting sqref="G17:L18">
    <cfRule type="expression" dxfId="179" priority="47">
      <formula>COUNTIF($K$15,"")</formula>
    </cfRule>
  </conditionalFormatting>
  <conditionalFormatting sqref="G24:L25">
    <cfRule type="expression" dxfId="178" priority="41">
      <formula>COUNTIF($K$22,"")</formula>
    </cfRule>
  </conditionalFormatting>
  <conditionalFormatting sqref="G31:L32">
    <cfRule type="expression" dxfId="177" priority="40">
      <formula>COUNTIF($K$29,"")</formula>
    </cfRule>
  </conditionalFormatting>
  <conditionalFormatting sqref="G38:L39">
    <cfRule type="expression" dxfId="176" priority="39">
      <formula>COUNTIF($K$36,"")</formula>
    </cfRule>
  </conditionalFormatting>
  <conditionalFormatting sqref="G45:L46">
    <cfRule type="expression" dxfId="175" priority="38">
      <formula>COUNTIF($K$43,"")</formula>
    </cfRule>
  </conditionalFormatting>
  <conditionalFormatting sqref="G52:L53">
    <cfRule type="expression" dxfId="174" priority="37">
      <formula>COUNTIF($K$50,"")</formula>
    </cfRule>
  </conditionalFormatting>
  <conditionalFormatting sqref="G59:L60">
    <cfRule type="expression" dxfId="173" priority="36">
      <formula>COUNTIF($K$57,"")</formula>
    </cfRule>
  </conditionalFormatting>
  <conditionalFormatting sqref="G66:L67">
    <cfRule type="expression" dxfId="172" priority="35">
      <formula>COUNTIF($K$64,"")</formula>
    </cfRule>
  </conditionalFormatting>
  <conditionalFormatting sqref="G73:L74">
    <cfRule type="expression" dxfId="171" priority="34">
      <formula>COUNTIF($K$71,"")</formula>
    </cfRule>
  </conditionalFormatting>
  <conditionalFormatting sqref="I20">
    <cfRule type="expression" dxfId="170" priority="131">
      <formula>$I$20="5410.15"</formula>
    </cfRule>
    <cfRule type="expression" dxfId="169" priority="130">
      <formula>$I$20="5410.13"</formula>
    </cfRule>
    <cfRule type="expression" dxfId="168" priority="132">
      <formula>$I$20="5410.17"</formula>
    </cfRule>
  </conditionalFormatting>
  <conditionalFormatting sqref="I27">
    <cfRule type="expression" dxfId="167" priority="105">
      <formula>$I$27="5410.13"</formula>
    </cfRule>
    <cfRule type="expression" dxfId="166" priority="107">
      <formula>$I$27="5410.17"</formula>
    </cfRule>
    <cfRule type="expression" dxfId="165" priority="106">
      <formula>$I$27="5410.15"</formula>
    </cfRule>
  </conditionalFormatting>
  <conditionalFormatting sqref="I34">
    <cfRule type="expression" dxfId="164" priority="128">
      <formula>$I$34="5410.16"</formula>
    </cfRule>
    <cfRule type="expression" dxfId="163" priority="127">
      <formula>$I$34="5410.14"</formula>
    </cfRule>
    <cfRule type="expression" dxfId="162" priority="129">
      <formula>$I$34="5410.18"</formula>
    </cfRule>
  </conditionalFormatting>
  <conditionalFormatting sqref="I41">
    <cfRule type="expression" dxfId="161" priority="95">
      <formula>$I$41="5410.14"</formula>
    </cfRule>
    <cfRule type="expression" dxfId="160" priority="96">
      <formula>$I$41="5410.16"</formula>
    </cfRule>
    <cfRule type="expression" dxfId="159" priority="97">
      <formula>$I$41="5410.18"</formula>
    </cfRule>
  </conditionalFormatting>
  <conditionalFormatting sqref="I48">
    <cfRule type="expression" dxfId="158" priority="87">
      <formula>$I$48="5410.18"</formula>
    </cfRule>
    <cfRule type="expression" dxfId="157" priority="85">
      <formula>$I$48="5410.14"</formula>
    </cfRule>
    <cfRule type="expression" dxfId="156" priority="86">
      <formula>$I$48="5410.16"</formula>
    </cfRule>
  </conditionalFormatting>
  <conditionalFormatting sqref="I55">
    <cfRule type="expression" dxfId="155" priority="75">
      <formula>$I$55="5410.14"</formula>
    </cfRule>
    <cfRule type="expression" dxfId="154" priority="76">
      <formula>$I$55="5410.16"</formula>
    </cfRule>
    <cfRule type="expression" dxfId="153" priority="77">
      <formula>$I$55="5410.18"</formula>
    </cfRule>
  </conditionalFormatting>
  <conditionalFormatting sqref="I62">
    <cfRule type="expression" dxfId="152" priority="126">
      <formula>$I$62="5410.18"</formula>
    </cfRule>
    <cfRule type="expression" dxfId="151" priority="125">
      <formula>$I$62="5410.17"</formula>
    </cfRule>
    <cfRule type="expression" dxfId="150" priority="124">
      <formula>$I$62="5410.16"</formula>
    </cfRule>
    <cfRule type="expression" dxfId="149" priority="123">
      <formula>$I$62="5410.15"</formula>
    </cfRule>
    <cfRule type="expression" dxfId="148" priority="121">
      <formula>$I$62="5410.13"</formula>
    </cfRule>
    <cfRule type="expression" dxfId="147" priority="122">
      <formula>$I$62="5410.14"</formula>
    </cfRule>
  </conditionalFormatting>
  <conditionalFormatting sqref="I69">
    <cfRule type="expression" dxfId="146" priority="120">
      <formula>$I$69="5410.18"</formula>
    </cfRule>
    <cfRule type="expression" dxfId="145" priority="119">
      <formula>$I$69="5410.17"</formula>
    </cfRule>
    <cfRule type="expression" dxfId="144" priority="118">
      <formula>$I$69="5410.16"</formula>
    </cfRule>
    <cfRule type="expression" dxfId="143" priority="117">
      <formula>$I$69="5410.15"</formula>
    </cfRule>
    <cfRule type="expression" dxfId="142" priority="116">
      <formula>$I$69="5410.14"</formula>
    </cfRule>
    <cfRule type="expression" dxfId="141" priority="115">
      <formula>$I$69="5410.13"</formula>
    </cfRule>
  </conditionalFormatting>
  <conditionalFormatting sqref="I76">
    <cfRule type="expression" dxfId="140" priority="63">
      <formula>$I$76="5410.14"</formula>
    </cfRule>
    <cfRule type="expression" dxfId="139" priority="64">
      <formula>$I$76="5410.15"</formula>
    </cfRule>
    <cfRule type="expression" dxfId="138" priority="65">
      <formula>$I$76="5410.16"</formula>
    </cfRule>
    <cfRule type="expression" dxfId="137" priority="66">
      <formula>$I$76="5410.17"</formula>
    </cfRule>
    <cfRule type="expression" dxfId="136" priority="67">
      <formula>$I$76="5410.18"</formula>
    </cfRule>
    <cfRule type="expression" dxfId="135" priority="62">
      <formula>$I$76="5410.13"</formula>
    </cfRule>
  </conditionalFormatting>
  <conditionalFormatting sqref="I19:J19">
    <cfRule type="expression" dxfId="134" priority="161">
      <formula>$I$18&gt;ROUND($I$17,1)</formula>
    </cfRule>
    <cfRule type="expression" dxfId="133" priority="160">
      <formula>$I$19&gt;=14.5%</formula>
    </cfRule>
  </conditionalFormatting>
  <conditionalFormatting sqref="I20:J20">
    <cfRule type="expression" dxfId="132" priority="61">
      <formula>$I$19&lt;14.5%</formula>
    </cfRule>
  </conditionalFormatting>
  <conditionalFormatting sqref="I26:J26">
    <cfRule type="expression" dxfId="131" priority="112">
      <formula>$I$25&gt;ROUND($I$24,1)</formula>
    </cfRule>
    <cfRule type="expression" dxfId="130" priority="111">
      <formula>$I$26&gt;=14.5%</formula>
    </cfRule>
  </conditionalFormatting>
  <conditionalFormatting sqref="I27:J27">
    <cfRule type="expression" dxfId="129" priority="60">
      <formula>$I$26&lt;14.5%</formula>
    </cfRule>
  </conditionalFormatting>
  <conditionalFormatting sqref="I33:J33">
    <cfRule type="expression" dxfId="128" priority="158">
      <formula>$I$32&gt;ROUND($I$31,1)</formula>
    </cfRule>
    <cfRule type="expression" dxfId="127" priority="157">
      <formula>$I$33&gt;=14.5%</formula>
    </cfRule>
  </conditionalFormatting>
  <conditionalFormatting sqref="I34:J34">
    <cfRule type="expression" dxfId="126" priority="59">
      <formula>$I$33&lt;14.5%</formula>
    </cfRule>
  </conditionalFormatting>
  <conditionalFormatting sqref="I40:J40">
    <cfRule type="expression" dxfId="125" priority="102">
      <formula>$I$39&gt;ROUND($I$38,1)</formula>
    </cfRule>
    <cfRule type="expression" dxfId="124" priority="101">
      <formula>$I$40&gt;=14.5%</formula>
    </cfRule>
  </conditionalFormatting>
  <conditionalFormatting sqref="I41:J41">
    <cfRule type="expression" dxfId="123" priority="58">
      <formula>$I$40&lt;14.5%</formula>
    </cfRule>
  </conditionalFormatting>
  <conditionalFormatting sqref="I47:J47">
    <cfRule type="expression" dxfId="122" priority="91">
      <formula>$I$47&gt;=14.5%</formula>
    </cfRule>
    <cfRule type="expression" dxfId="121" priority="92">
      <formula>$I$46&gt;ROUND($I$45,1)</formula>
    </cfRule>
  </conditionalFormatting>
  <conditionalFormatting sqref="I48:J48">
    <cfRule type="expression" dxfId="120" priority="57">
      <formula>$I$47&lt;14.5%</formula>
    </cfRule>
  </conditionalFormatting>
  <conditionalFormatting sqref="I54:J54">
    <cfRule type="expression" dxfId="119" priority="81">
      <formula>$I$54&gt;=14.5%</formula>
    </cfRule>
    <cfRule type="expression" dxfId="118" priority="82">
      <formula>$I$53&gt;ROUND($I$52,1)</formula>
    </cfRule>
  </conditionalFormatting>
  <conditionalFormatting sqref="I55:J55">
    <cfRule type="expression" dxfId="117" priority="56">
      <formula>$I$54&lt;14.5%</formula>
    </cfRule>
  </conditionalFormatting>
  <conditionalFormatting sqref="I61:J61">
    <cfRule type="expression" dxfId="116" priority="143">
      <formula>$I$61&gt;=14.5%</formula>
    </cfRule>
    <cfRule type="expression" dxfId="115" priority="144">
      <formula>$I$60&gt;ROUND($I$59,1)</formula>
    </cfRule>
  </conditionalFormatting>
  <conditionalFormatting sqref="I62:J62">
    <cfRule type="expression" dxfId="114" priority="55">
      <formula>$I$61&lt;14.5%</formula>
    </cfRule>
  </conditionalFormatting>
  <conditionalFormatting sqref="I68:J68">
    <cfRule type="expression" dxfId="113" priority="136">
      <formula>$I$68&gt;=14.5%</formula>
    </cfRule>
    <cfRule type="expression" dxfId="112" priority="137">
      <formula>$I$67&gt;ROUND($I$66,1)</formula>
    </cfRule>
  </conditionalFormatting>
  <conditionalFormatting sqref="I69:J69">
    <cfRule type="expression" dxfId="111" priority="54">
      <formula>$I$68&lt;14.5%</formula>
    </cfRule>
  </conditionalFormatting>
  <conditionalFormatting sqref="I75:J75">
    <cfRule type="expression" dxfId="110" priority="72">
      <formula>$I$74&gt;ROUND($I$73,1)</formula>
    </cfRule>
    <cfRule type="expression" dxfId="109" priority="71">
      <formula>$I$75&gt;=14.5%</formula>
    </cfRule>
  </conditionalFormatting>
  <conditionalFormatting sqref="I76:J76">
    <cfRule type="expression" dxfId="108" priority="53">
      <formula>$I$75&lt;14.5%</formula>
    </cfRule>
  </conditionalFormatting>
  <conditionalFormatting sqref="I17:L18 I24:L25 I31:L32 I38:L39 I45:L46 I52:L53 I59:L60 I66:L67 I73:L74">
    <cfRule type="expression" dxfId="107" priority="196">
      <formula>COUNTIF($G$11,"T1")</formula>
    </cfRule>
  </conditionalFormatting>
  <conditionalFormatting sqref="K15:L15">
    <cfRule type="expression" dxfId="106" priority="14" stopIfTrue="1">
      <formula>$F$15="na"</formula>
    </cfRule>
  </conditionalFormatting>
  <conditionalFormatting sqref="K19:L19">
    <cfRule type="expression" dxfId="105" priority="155">
      <formula>$K$18&gt;ROUND($K$17,1)</formula>
    </cfRule>
  </conditionalFormatting>
  <conditionalFormatting sqref="K22:L22">
    <cfRule type="expression" dxfId="104" priority="13" stopIfTrue="1">
      <formula>$F$22="na"</formula>
    </cfRule>
  </conditionalFormatting>
  <conditionalFormatting sqref="K26:L26">
    <cfRule type="expression" dxfId="103" priority="109">
      <formula>$K$25&gt;ROUND($K$24,1)</formula>
    </cfRule>
  </conditionalFormatting>
  <conditionalFormatting sqref="K29:L29">
    <cfRule type="expression" dxfId="102" priority="12" stopIfTrue="1">
      <formula>$F$29="na"</formula>
    </cfRule>
  </conditionalFormatting>
  <conditionalFormatting sqref="K33:L33">
    <cfRule type="expression" dxfId="101" priority="153">
      <formula>$K$32&gt;ROUND($K$31,1)</formula>
    </cfRule>
  </conditionalFormatting>
  <conditionalFormatting sqref="K36:L36">
    <cfRule type="expression" dxfId="100" priority="11" stopIfTrue="1">
      <formula>$F$36="na"</formula>
    </cfRule>
  </conditionalFormatting>
  <conditionalFormatting sqref="K40:L40">
    <cfRule type="expression" dxfId="99" priority="99">
      <formula>$K$39&gt;ROUND($K$38,1)</formula>
    </cfRule>
  </conditionalFormatting>
  <conditionalFormatting sqref="K43:L43">
    <cfRule type="expression" dxfId="98" priority="10" stopIfTrue="1">
      <formula>$F$43="na"</formula>
    </cfRule>
  </conditionalFormatting>
  <conditionalFormatting sqref="K47:L47">
    <cfRule type="expression" dxfId="97" priority="89">
      <formula>$K$46&gt;ROUND($K$45,1)</formula>
    </cfRule>
  </conditionalFormatting>
  <conditionalFormatting sqref="K50:L50">
    <cfRule type="expression" dxfId="96" priority="9" stopIfTrue="1">
      <formula>$F$50="na"</formula>
    </cfRule>
  </conditionalFormatting>
  <conditionalFormatting sqref="K54:L54">
    <cfRule type="expression" dxfId="95" priority="79">
      <formula>$K$53&gt;ROUND($K$52,1)</formula>
    </cfRule>
  </conditionalFormatting>
  <conditionalFormatting sqref="K57:L57">
    <cfRule type="expression" dxfId="94" priority="8" stopIfTrue="1">
      <formula>$F$57="na"</formula>
    </cfRule>
  </conditionalFormatting>
  <conditionalFormatting sqref="K61:L61">
    <cfRule type="expression" dxfId="93" priority="141">
      <formula>$K$60&gt;ROUND($K$59,1)</formula>
    </cfRule>
  </conditionalFormatting>
  <conditionalFormatting sqref="K64:L64">
    <cfRule type="expression" dxfId="92" priority="6" stopIfTrue="1">
      <formula>$F$64="na"</formula>
    </cfRule>
  </conditionalFormatting>
  <conditionalFormatting sqref="K68:L68">
    <cfRule type="expression" dxfId="91" priority="134">
      <formula>$K$67&gt;ROUND($K$66,1)</formula>
    </cfRule>
  </conditionalFormatting>
  <conditionalFormatting sqref="K71:L71">
    <cfRule type="expression" dxfId="90" priority="4" stopIfTrue="1">
      <formula>$F$71="na"</formula>
    </cfRule>
  </conditionalFormatting>
  <conditionalFormatting sqref="K75:L75">
    <cfRule type="expression" dxfId="89" priority="69">
      <formula>$K$74&gt;ROUND($K$73,1)</formula>
    </cfRule>
  </conditionalFormatting>
  <conditionalFormatting sqref="M6">
    <cfRule type="expression" dxfId="88" priority="24">
      <formula>$G$6&gt;DATE(1999,12,31)</formula>
    </cfRule>
  </conditionalFormatting>
  <conditionalFormatting sqref="M7:M8">
    <cfRule type="expression" dxfId="87" priority="148">
      <formula>COUNTIF($G$7,"A")</formula>
    </cfRule>
    <cfRule type="expression" dxfId="86" priority="147">
      <formula>COUNTIF($G$7,"S")</formula>
    </cfRule>
    <cfRule type="expression" dxfId="85" priority="165">
      <formula>COUNTIF($G$7,"N")</formula>
    </cfRule>
    <cfRule type="expression" dxfId="84" priority="166">
      <formula>COUNTIF($G$7, "Y")</formula>
    </cfRule>
  </conditionalFormatting>
  <conditionalFormatting sqref="M9">
    <cfRule type="expression" dxfId="83" priority="1" stopIfTrue="1">
      <formula>$G$9&gt;0</formula>
    </cfRule>
  </conditionalFormatting>
  <conditionalFormatting sqref="M10:M12">
    <cfRule type="expression" dxfId="82" priority="2" stopIfTrue="1">
      <formula>$G$10&gt;0</formula>
    </cfRule>
  </conditionalFormatting>
  <conditionalFormatting sqref="M15 M18">
    <cfRule type="expression" dxfId="81" priority="168" stopIfTrue="1">
      <formula>$F$15="na"</formula>
    </cfRule>
  </conditionalFormatting>
  <conditionalFormatting sqref="M15">
    <cfRule type="expression" dxfId="80" priority="23" stopIfTrue="1">
      <formula>$K$15&gt;0</formula>
    </cfRule>
  </conditionalFormatting>
  <conditionalFormatting sqref="M18">
    <cfRule type="expression" dxfId="79" priority="191">
      <formula>ROUND($I$18,1)&gt;ROUND($I$17,1)</formula>
    </cfRule>
    <cfRule type="expression" dxfId="78" priority="192">
      <formula>ROUND($G$18,1)&gt;ROUND($G$17,1)</formula>
    </cfRule>
    <cfRule type="expression" dxfId="77" priority="190">
      <formula>ROUND($K$18,1)&gt;ROUND($K$17,1)</formula>
    </cfRule>
    <cfRule type="expression" dxfId="76" priority="193">
      <formula>AND($G$11="T3 IF IN ECA ELSE T2",I18&gt;0,K18&gt;0)</formula>
    </cfRule>
    <cfRule type="expression" dxfId="75" priority="194">
      <formula>AND($G$11="T2",I18&gt;0)</formula>
    </cfRule>
    <cfRule type="expression" dxfId="74" priority="195">
      <formula>AND($G$11="T1",G18&gt;0)</formula>
    </cfRule>
  </conditionalFormatting>
  <conditionalFormatting sqref="M22 M25">
    <cfRule type="expression" dxfId="73" priority="114" stopIfTrue="1">
      <formula>$F$22="na"</formula>
    </cfRule>
  </conditionalFormatting>
  <conditionalFormatting sqref="M22">
    <cfRule type="expression" dxfId="72" priority="22" stopIfTrue="1">
      <formula>$K$22&gt;0</formula>
    </cfRule>
  </conditionalFormatting>
  <conditionalFormatting sqref="M25">
    <cfRule type="expression" dxfId="71" priority="201">
      <formula>ROUND($K$25,1)&gt;ROUND($K$24,1)</formula>
    </cfRule>
    <cfRule type="expression" dxfId="70" priority="202">
      <formula>ROUND($I$25,1)&gt;ROUND($I$24,1)</formula>
    </cfRule>
    <cfRule type="expression" dxfId="69" priority="203">
      <formula>ROUND($G$25,1)&gt;ROUND($G$24,1)</formula>
    </cfRule>
    <cfRule type="expression" dxfId="68" priority="204">
      <formula>AND($G$11="T3 IF IN ECA ELSE T2",I25&gt;0,K25&gt;0)</formula>
    </cfRule>
    <cfRule type="expression" dxfId="67" priority="205">
      <formula>AND($G$11="T2",I25&gt;0)</formula>
    </cfRule>
    <cfRule type="expression" dxfId="66" priority="206">
      <formula>AND($G$11="T1",G25&gt;0)</formula>
    </cfRule>
  </conditionalFormatting>
  <conditionalFormatting sqref="M29 M32">
    <cfRule type="expression" dxfId="65" priority="167" stopIfTrue="1">
      <formula>$F$29="na"</formula>
    </cfRule>
  </conditionalFormatting>
  <conditionalFormatting sqref="M29">
    <cfRule type="expression" dxfId="64" priority="21" stopIfTrue="1">
      <formula>$K$29&gt;0</formula>
    </cfRule>
  </conditionalFormatting>
  <conditionalFormatting sqref="M32">
    <cfRule type="expression" dxfId="63" priority="207">
      <formula>ROUND($K$32,1)&gt;ROUND($K$31,1)</formula>
    </cfRule>
    <cfRule type="expression" dxfId="62" priority="211">
      <formula>AND($G$11="T2",I32&gt;0)</formula>
    </cfRule>
    <cfRule type="expression" dxfId="61" priority="212">
      <formula>AND($G$11="T1",G32&gt;0)</formula>
    </cfRule>
    <cfRule type="expression" dxfId="60" priority="208">
      <formula>ROUND($I$32,1)&gt;ROUND($I$31,1)</formula>
    </cfRule>
    <cfRule type="expression" dxfId="59" priority="209">
      <formula>ROUND($G$32,1)&gt;ROUND($G$31,1)</formula>
    </cfRule>
    <cfRule type="expression" dxfId="58" priority="210">
      <formula>AND($G$11="T3 IF IN ECA ELSE T2",I32&gt;0,K32&gt;0)</formula>
    </cfRule>
  </conditionalFormatting>
  <conditionalFormatting sqref="M36 M39">
    <cfRule type="expression" dxfId="57" priority="104" stopIfTrue="1">
      <formula>$F$36="na"</formula>
    </cfRule>
  </conditionalFormatting>
  <conditionalFormatting sqref="M36">
    <cfRule type="expression" dxfId="56" priority="20" stopIfTrue="1">
      <formula>$K$36&gt;0</formula>
    </cfRule>
  </conditionalFormatting>
  <conditionalFormatting sqref="M39">
    <cfRule type="expression" dxfId="55" priority="213">
      <formula>ROUND($K$39,1)&gt;ROUND($K$38,1)</formula>
    </cfRule>
    <cfRule type="expression" dxfId="54" priority="214">
      <formula>ROUND($I$39,1)&gt;ROUND($I$38,1)</formula>
    </cfRule>
    <cfRule type="expression" dxfId="53" priority="215">
      <formula>ROUND($G$39,1)&gt;ROUND($G$38,1)</formula>
    </cfRule>
    <cfRule type="expression" dxfId="52" priority="216">
      <formula>AND($G$11="T3 IF IN ECA ELSE T2",I39&gt;0,K39&gt;0)</formula>
    </cfRule>
    <cfRule type="expression" dxfId="51" priority="217">
      <formula>AND($G$11="T2",I39&gt;0)</formula>
    </cfRule>
    <cfRule type="expression" dxfId="50" priority="218">
      <formula>AND($G$11="T1",G39&gt;0)</formula>
    </cfRule>
  </conditionalFormatting>
  <conditionalFormatting sqref="M43 M46">
    <cfRule type="expression" dxfId="49" priority="94" stopIfTrue="1">
      <formula>$F$43="na"</formula>
    </cfRule>
  </conditionalFormatting>
  <conditionalFormatting sqref="M43">
    <cfRule type="expression" dxfId="48" priority="18" stopIfTrue="1">
      <formula>$K$43&gt;0</formula>
    </cfRule>
  </conditionalFormatting>
  <conditionalFormatting sqref="M46">
    <cfRule type="expression" dxfId="47" priority="223">
      <formula>AND($G$11="T2",I46&gt;0)</formula>
    </cfRule>
    <cfRule type="expression" dxfId="46" priority="224">
      <formula>AND($G$11="T1",G46&gt;0)</formula>
    </cfRule>
    <cfRule type="expression" dxfId="45" priority="219">
      <formula>ROUND($K$46,1)&gt;ROUND($K$45,1)</formula>
    </cfRule>
    <cfRule type="expression" dxfId="44" priority="220">
      <formula>ROUND($I$46,1)&gt;ROUND($I$45,1)</formula>
    </cfRule>
    <cfRule type="expression" dxfId="43" priority="221">
      <formula>ROUND($G$46,1)&gt;ROUND($G$45,1)</formula>
    </cfRule>
    <cfRule type="expression" dxfId="42" priority="222">
      <formula>AND($G$11="T3 IF IN ECA ELSE T2",I46&gt;0,K46&gt;0)</formula>
    </cfRule>
  </conditionalFormatting>
  <conditionalFormatting sqref="M50 M53">
    <cfRule type="expression" dxfId="41" priority="84" stopIfTrue="1">
      <formula>$F$50="na"</formula>
    </cfRule>
  </conditionalFormatting>
  <conditionalFormatting sqref="M50">
    <cfRule type="expression" dxfId="40" priority="19" stopIfTrue="1">
      <formula>$K$50&gt;0</formula>
    </cfRule>
  </conditionalFormatting>
  <conditionalFormatting sqref="M53">
    <cfRule type="expression" dxfId="39" priority="225">
      <formula>ROUND($K$53,1)&gt;ROUND($K$52,1)</formula>
    </cfRule>
    <cfRule type="expression" dxfId="38" priority="226">
      <formula>ROUND($I$53,1)&gt;ROUND($I$52,1)</formula>
    </cfRule>
    <cfRule type="expression" dxfId="37" priority="227">
      <formula>ROUND($G$53,1)&gt;ROUND($G$52,1)</formula>
    </cfRule>
    <cfRule type="expression" dxfId="36" priority="228">
      <formula>AND($G$11="T3 IF IN ECA ELSE T2",I53&gt;0,K53&gt;0)</formula>
    </cfRule>
    <cfRule type="expression" dxfId="35" priority="229">
      <formula>AND($G$11="T2",I53&gt;0)</formula>
    </cfRule>
    <cfRule type="expression" dxfId="34" priority="230">
      <formula>AND($G$11="T1",G53&gt;0)</formula>
    </cfRule>
  </conditionalFormatting>
  <conditionalFormatting sqref="M57 M60">
    <cfRule type="expression" dxfId="33" priority="146" stopIfTrue="1">
      <formula>$F$57="na"</formula>
    </cfRule>
  </conditionalFormatting>
  <conditionalFormatting sqref="M57">
    <cfRule type="expression" dxfId="32" priority="17" stopIfTrue="1">
      <formula>AND($K$57&gt;0,$G$57&gt;0)</formula>
    </cfRule>
  </conditionalFormatting>
  <conditionalFormatting sqref="M60">
    <cfRule type="expression" dxfId="31" priority="231">
      <formula>ROUND($K$60,1)&gt;ROUND($K$59,1)</formula>
    </cfRule>
    <cfRule type="expression" dxfId="30" priority="232">
      <formula>ROUND($I$60,1)&gt;ROUND($I$59,1)</formula>
    </cfRule>
    <cfRule type="expression" dxfId="29" priority="233">
      <formula>ROUND($G$60,1)&gt;ROUND($G$59,1)</formula>
    </cfRule>
    <cfRule type="expression" dxfId="28" priority="234">
      <formula>AND($G$11="T3 IF IN ECA ELSE T2",I60&gt;0,K60&gt;0)</formula>
    </cfRule>
    <cfRule type="expression" dxfId="27" priority="235">
      <formula>AND($G$11="T2",I60&gt;0)</formula>
    </cfRule>
    <cfRule type="expression" dxfId="26" priority="236">
      <formula>AND($G$11="T1",G60&gt;0)</formula>
    </cfRule>
  </conditionalFormatting>
  <conditionalFormatting sqref="M64 M67">
    <cfRule type="expression" dxfId="25" priority="139" stopIfTrue="1">
      <formula>$F$64="na"</formula>
    </cfRule>
  </conditionalFormatting>
  <conditionalFormatting sqref="M64">
    <cfRule type="expression" dxfId="24" priority="16" stopIfTrue="1">
      <formula>AND($K$64&gt;0,$G$64&gt;0)</formula>
    </cfRule>
  </conditionalFormatting>
  <conditionalFormatting sqref="M67">
    <cfRule type="expression" dxfId="23" priority="237">
      <formula>ROUND($K$67,1)&gt;ROUND($K$66,1)</formula>
    </cfRule>
    <cfRule type="expression" dxfId="22" priority="238">
      <formula>ROUND($I$67,1)&gt;ROUND($I$66,1)</formula>
    </cfRule>
    <cfRule type="expression" dxfId="21" priority="239">
      <formula>ROUND($G$67,1)&gt;ROUND($G$66,1)</formula>
    </cfRule>
    <cfRule type="expression" dxfId="20" priority="240">
      <formula>AND($G$11="T3 IF IN ECA ELSE T2",I67&gt;0,K67&gt;0)</formula>
    </cfRule>
    <cfRule type="expression" dxfId="19" priority="241">
      <formula>AND($G$11="T2",I67&gt;0)</formula>
    </cfRule>
    <cfRule type="expression" dxfId="18" priority="242">
      <formula>AND($G$11="T1",G67&gt;0)</formula>
    </cfRule>
  </conditionalFormatting>
  <conditionalFormatting sqref="M71 M74">
    <cfRule type="expression" dxfId="17" priority="74" stopIfTrue="1">
      <formula>$F$71="na"</formula>
    </cfRule>
  </conditionalFormatting>
  <conditionalFormatting sqref="M71">
    <cfRule type="expression" dxfId="16" priority="15" stopIfTrue="1">
      <formula>AND($K$71&gt;0,$G$71&gt;0)</formula>
    </cfRule>
  </conditionalFormatting>
  <conditionalFormatting sqref="M74">
    <cfRule type="expression" dxfId="15" priority="243">
      <formula>ROUND($K$74,1)&gt;ROUND($K$73,1)</formula>
    </cfRule>
    <cfRule type="expression" dxfId="14" priority="244">
      <formula>ROUND($I$74,1)&gt;ROUND($I$73,1)</formula>
    </cfRule>
    <cfRule type="expression" dxfId="13" priority="245">
      <formula>ROUND($G$74,1)&gt;ROUND($G$73,1)</formula>
    </cfRule>
    <cfRule type="expression" dxfId="12" priority="246">
      <formula>AND($G$11="T3 IF IN ECA ELSE T2",I74&gt;0,K74&gt;0)</formula>
    </cfRule>
    <cfRule type="expression" dxfId="11" priority="247">
      <formula>AND($G$11="T2",I74&gt;0)</formula>
    </cfRule>
    <cfRule type="expression" dxfId="10" priority="248">
      <formula>AND($G$11="T1",G74&gt;0)</formula>
    </cfRule>
  </conditionalFormatting>
  <dataValidations count="9">
    <dataValidation type="list" allowBlank="1" showInputMessage="1" showErrorMessage="1" promptTitle="ELECTRICITY GENERATION" prompt="Use drop-down to select as appropriate" sqref="G10:L10" xr:uid="{95CFFDF3-77F3-4562-AD6B-E9C5031F83F9}">
      <formula1>$AD$12:$AD$16</formula1>
    </dataValidation>
    <dataValidation type="list" allowBlank="1" showInputMessage="1" showErrorMessage="1" promptTitle="PROPULSION TYPE" prompt="Use drop-down to select as approproiate" sqref="G9:L9" xr:uid="{56C1FB4B-F405-4228-9274-A8075BEAA4AE}">
      <formula1>$AC$12:$AC$16</formula1>
    </dataValidation>
    <dataValidation type="list" allowBlank="1" showInputMessage="1" showErrorMessage="1" promptTitle="MAIN/AUXILIARY" prompt="Select Appropriate Engine Type" sqref="G57:H57 G71:H71 G64:H64" xr:uid="{E8F62A06-5143-4AFE-BD0D-1935E0195009}">
      <formula1>$AC$9:$AC$11</formula1>
    </dataValidation>
    <dataValidation type="date" allowBlank="1" showInputMessage="1" showErrorMessage="1" errorTitle="DATE ERROR" error="Enter a valid date on/after 01/01/2000" promptTitle="Date Format" prompt="DD/MM/YYYY" sqref="G6:L6" xr:uid="{64830B2E-879C-4863-A1CA-1E4445DA7ADD}">
      <formula1>36526</formula1>
      <formula2>55153</formula2>
    </dataValidation>
    <dataValidation type="textLength" operator="equal" allowBlank="1" showDropDown="1" showInputMessage="1" showErrorMessage="1" errorTitle="Check entered value" error="Enter Y or N" prompt="Enter Y or N" sqref="G7:L8" xr:uid="{A2F95541-F0CC-4858-BAA9-AACBD416A00A}">
      <formula1>1</formula1>
    </dataValidation>
    <dataValidation allowBlank="1" showInputMessage="1" showErrorMessage="1" promptTitle="Main Engine" prompt="Please input main engine value only." sqref="K15:L15 K22:L22" xr:uid="{2818C7EF-C185-446B-BC30-7A64E309F691}"/>
    <dataValidation allowBlank="1" showInputMessage="1" showErrorMessage="1" promptTitle="Auxiliary Engine" prompt="Please input auxiliary engine value only." sqref="K43:L43 K29:L29 K36:L36" xr:uid="{F7CFC081-8A37-418A-9967-C2B437139670}"/>
    <dataValidation allowBlank="1" showInputMessage="1" showErrorMessage="1" promptTitle="Auxiliary engine" prompt="Please input auxiliary engine value only." sqref="K50:L50" xr:uid="{1DEEB81C-4745-4107-A942-600EEEAB910C}"/>
    <dataValidation allowBlank="1" showInputMessage="1" showErrorMessage="1" promptTitle="Main/Auxiliary/Other Engine" prompt="Please input appropriate value as per engine type selected." sqref="K64:L64 K57:L57 K71:L71" xr:uid="{E18C80E0-FF01-4B8F-9CA5-96D518F37611}"/>
  </dataValidations>
  <pageMargins left="0.70866141732283472" right="0.70866141732283472" top="0.74803149606299213" bottom="0.74803149606299213" header="0.31496062992125984" footer="0.31496062992125984"/>
  <pageSetup paperSize="9" scale="56" fitToWidth="0" fitToHeight="0" orientation="portrait" r:id="rId1"/>
  <headerFooter alignWithMargins="0">
    <oddFooter>&amp;LCKL TNK / VERSION 2025 / 1.1&amp;R&amp;P of &amp;N</oddFooter>
  </headerFooter>
  <rowBreaks count="1" manualBreakCount="1">
    <brk id="56"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74"/>
  <sheetViews>
    <sheetView zoomScale="90" zoomScaleNormal="90" zoomScaleSheetLayoutView="90" workbookViewId="0">
      <pane ySplit="1" topLeftCell="A2" activePane="bottomLeft" state="frozen"/>
      <selection pane="bottomLeft" activeCell="F1" sqref="F1"/>
    </sheetView>
  </sheetViews>
  <sheetFormatPr defaultColWidth="9.140625" defaultRowHeight="15" x14ac:dyDescent="0.25"/>
  <cols>
    <col min="1" max="1" width="5.85546875" style="581" customWidth="1"/>
    <col min="2" max="2" width="25.42578125" style="581" customWidth="1"/>
    <col min="3" max="3" width="33.5703125" style="581" customWidth="1"/>
    <col min="4" max="4" width="21.5703125" style="581" bestFit="1" customWidth="1"/>
    <col min="5" max="5" width="14.7109375" style="581" customWidth="1"/>
    <col min="6" max="6" width="18" style="621" customWidth="1"/>
    <col min="7" max="7" width="9.140625" style="621"/>
    <col min="8" max="16384" width="9.140625" style="622"/>
  </cols>
  <sheetData>
    <row r="1" spans="1:7" s="581" customFormat="1" ht="18.75" customHeight="1" x14ac:dyDescent="0.25">
      <c r="A1" s="902" t="s">
        <v>1626</v>
      </c>
      <c r="B1" s="903"/>
      <c r="C1" s="903"/>
      <c r="D1" s="903"/>
      <c r="E1" s="904"/>
      <c r="F1" s="582"/>
      <c r="G1" s="582"/>
    </row>
    <row r="2" spans="1:7" s="581" customFormat="1" ht="9.9499999999999993" customHeight="1" x14ac:dyDescent="0.25">
      <c r="F2" s="582"/>
      <c r="G2" s="582"/>
    </row>
    <row r="3" spans="1:7" s="581" customFormat="1" ht="15.75" x14ac:dyDescent="0.25">
      <c r="A3" s="623" t="s">
        <v>1519</v>
      </c>
      <c r="D3" s="905" t="str">
        <f>'Checklist - Basic Ship Oil'!A1</f>
        <v xml:space="preserve">GA Code: </v>
      </c>
      <c r="E3" s="905"/>
      <c r="F3" s="582"/>
      <c r="G3" s="582"/>
    </row>
    <row r="4" spans="1:7" s="581" customFormat="1" x14ac:dyDescent="0.25">
      <c r="A4" s="581" t="s">
        <v>1520</v>
      </c>
      <c r="D4" s="905" t="str">
        <f>'Checklist - Basic Ship Oil'!C1</f>
        <v xml:space="preserve">Ship name:   </v>
      </c>
      <c r="E4" s="905"/>
      <c r="F4" s="582"/>
      <c r="G4" s="582"/>
    </row>
    <row r="5" spans="1:7" s="581" customFormat="1" x14ac:dyDescent="0.25">
      <c r="A5" s="625" t="s">
        <v>1627</v>
      </c>
      <c r="D5" s="906" t="str">
        <f>'Checklist - Basic Ship Oil'!T1</f>
        <v xml:space="preserve">Date of Ship Survey:  </v>
      </c>
      <c r="E5" s="906"/>
      <c r="F5" s="582"/>
      <c r="G5" s="582"/>
    </row>
    <row r="6" spans="1:7" s="581" customFormat="1" ht="9.9499999999999993" customHeight="1" x14ac:dyDescent="0.25">
      <c r="A6" s="625"/>
      <c r="F6" s="582"/>
      <c r="G6" s="582"/>
    </row>
    <row r="7" spans="1:7" s="581" customFormat="1" x14ac:dyDescent="0.25">
      <c r="A7" s="584" t="s">
        <v>1521</v>
      </c>
      <c r="F7" s="582"/>
      <c r="G7" s="582"/>
    </row>
    <row r="8" spans="1:7" s="581" customFormat="1" ht="52.5" customHeight="1" thickBot="1" x14ac:dyDescent="0.3">
      <c r="A8" s="897" t="s">
        <v>1522</v>
      </c>
      <c r="B8" s="898"/>
      <c r="C8" s="898"/>
      <c r="D8" s="898"/>
      <c r="E8" s="898"/>
      <c r="F8" s="582"/>
      <c r="G8" s="582"/>
    </row>
    <row r="9" spans="1:7" s="581" customFormat="1" ht="15.75" thickBot="1" x14ac:dyDescent="0.3">
      <c r="A9" s="585" t="s">
        <v>1523</v>
      </c>
      <c r="B9" s="585" t="s">
        <v>1524</v>
      </c>
      <c r="C9" s="586" t="s">
        <v>1525</v>
      </c>
      <c r="D9" s="586" t="s">
        <v>1526</v>
      </c>
      <c r="E9" s="587" t="s">
        <v>1527</v>
      </c>
      <c r="F9" s="582"/>
      <c r="G9" s="582"/>
    </row>
    <row r="10" spans="1:7" s="581" customFormat="1" ht="15.75" hidden="1" thickBot="1" x14ac:dyDescent="0.3">
      <c r="A10" s="588"/>
      <c r="B10" s="589"/>
      <c r="C10" s="590"/>
      <c r="D10" s="590"/>
      <c r="E10" s="591"/>
      <c r="F10" s="582"/>
      <c r="G10" s="582"/>
    </row>
    <row r="11" spans="1:7" s="597" customFormat="1" ht="45" x14ac:dyDescent="0.25">
      <c r="A11" s="592"/>
      <c r="B11" s="593" t="s">
        <v>1528</v>
      </c>
      <c r="C11" s="594" t="s">
        <v>1529</v>
      </c>
      <c r="D11" s="594" t="s">
        <v>1530</v>
      </c>
      <c r="E11" s="595" t="s">
        <v>1531</v>
      </c>
      <c r="F11" s="596"/>
      <c r="G11" s="596"/>
    </row>
    <row r="12" spans="1:7" s="597" customFormat="1" ht="60" x14ac:dyDescent="0.25">
      <c r="A12" s="598"/>
      <c r="B12" s="599" t="s">
        <v>1532</v>
      </c>
      <c r="C12" s="600" t="s">
        <v>1533</v>
      </c>
      <c r="D12" s="600" t="s">
        <v>1530</v>
      </c>
      <c r="E12" s="601" t="s">
        <v>1534</v>
      </c>
      <c r="F12" s="596"/>
      <c r="G12" s="596"/>
    </row>
    <row r="13" spans="1:7" s="597" customFormat="1" ht="60" x14ac:dyDescent="0.25">
      <c r="A13" s="598" t="s">
        <v>1333</v>
      </c>
      <c r="B13" s="599" t="s">
        <v>1535</v>
      </c>
      <c r="C13" s="600" t="s">
        <v>1536</v>
      </c>
      <c r="D13" s="600" t="s">
        <v>1530</v>
      </c>
      <c r="E13" s="601" t="s">
        <v>1537</v>
      </c>
      <c r="F13" s="596"/>
      <c r="G13" s="596"/>
    </row>
    <row r="14" spans="1:7" s="597" customFormat="1" ht="60" x14ac:dyDescent="0.25">
      <c r="A14" s="598"/>
      <c r="B14" s="599" t="s">
        <v>1538</v>
      </c>
      <c r="C14" s="600" t="s">
        <v>1539</v>
      </c>
      <c r="D14" s="600" t="s">
        <v>1540</v>
      </c>
      <c r="E14" s="601" t="s">
        <v>1531</v>
      </c>
      <c r="F14" s="596"/>
      <c r="G14" s="596"/>
    </row>
    <row r="15" spans="1:7" s="597" customFormat="1" ht="60" x14ac:dyDescent="0.25">
      <c r="A15" s="598"/>
      <c r="B15" s="599" t="s">
        <v>1541</v>
      </c>
      <c r="C15" s="600" t="s">
        <v>1542</v>
      </c>
      <c r="D15" s="600" t="s">
        <v>1530</v>
      </c>
      <c r="E15" s="601" t="s">
        <v>1543</v>
      </c>
      <c r="F15" s="596"/>
      <c r="G15" s="596"/>
    </row>
    <row r="16" spans="1:7" s="597" customFormat="1" ht="105" x14ac:dyDescent="0.25">
      <c r="A16" s="598"/>
      <c r="B16" s="599" t="s">
        <v>1544</v>
      </c>
      <c r="C16" s="600" t="s">
        <v>1545</v>
      </c>
      <c r="D16" s="600" t="s">
        <v>1530</v>
      </c>
      <c r="E16" s="601" t="s">
        <v>1546</v>
      </c>
      <c r="F16" s="596"/>
      <c r="G16" s="596"/>
    </row>
    <row r="17" spans="1:5" s="597" customFormat="1" ht="60" x14ac:dyDescent="0.25">
      <c r="A17" s="598"/>
      <c r="B17" s="599" t="s">
        <v>1547</v>
      </c>
      <c r="C17" s="600" t="s">
        <v>1548</v>
      </c>
      <c r="D17" s="600" t="s">
        <v>1530</v>
      </c>
      <c r="E17" s="601" t="s">
        <v>1531</v>
      </c>
    </row>
    <row r="18" spans="1:5" s="597" customFormat="1" ht="75" x14ac:dyDescent="0.25">
      <c r="A18" s="598"/>
      <c r="B18" s="599" t="s">
        <v>1549</v>
      </c>
      <c r="C18" s="600" t="s">
        <v>1550</v>
      </c>
      <c r="D18" s="600" t="s">
        <v>1540</v>
      </c>
      <c r="E18" s="601" t="s">
        <v>1551</v>
      </c>
    </row>
    <row r="19" spans="1:5" s="597" customFormat="1" ht="90" x14ac:dyDescent="0.25">
      <c r="A19" s="598"/>
      <c r="B19" s="599" t="s">
        <v>1552</v>
      </c>
      <c r="C19" s="600" t="s">
        <v>1553</v>
      </c>
      <c r="D19" s="600" t="s">
        <v>1530</v>
      </c>
      <c r="E19" s="601" t="s">
        <v>1554</v>
      </c>
    </row>
    <row r="20" spans="1:5" s="597" customFormat="1" ht="60" x14ac:dyDescent="0.25">
      <c r="A20" s="598"/>
      <c r="B20" s="599" t="s">
        <v>1555</v>
      </c>
      <c r="C20" s="600" t="s">
        <v>1556</v>
      </c>
      <c r="D20" s="600" t="s">
        <v>1540</v>
      </c>
      <c r="E20" s="601" t="s">
        <v>1557</v>
      </c>
    </row>
    <row r="21" spans="1:5" s="597" customFormat="1" ht="45.75" thickBot="1" x14ac:dyDescent="0.3">
      <c r="A21" s="602"/>
      <c r="B21" s="603" t="s">
        <v>1558</v>
      </c>
      <c r="C21" s="604" t="s">
        <v>1559</v>
      </c>
      <c r="D21" s="604" t="s">
        <v>1530</v>
      </c>
      <c r="E21" s="605" t="s">
        <v>1560</v>
      </c>
    </row>
    <row r="22" spans="1:5" s="581" customFormat="1" x14ac:dyDescent="0.25">
      <c r="B22" s="606"/>
      <c r="C22" s="606"/>
      <c r="D22" s="606"/>
      <c r="E22" s="606"/>
    </row>
    <row r="23" spans="1:5" s="581" customFormat="1" ht="9.9499999999999993" customHeight="1" x14ac:dyDescent="0.25"/>
    <row r="24" spans="1:5" s="581" customFormat="1" x14ac:dyDescent="0.25">
      <c r="A24" s="607" t="s">
        <v>1561</v>
      </c>
      <c r="C24" s="606"/>
      <c r="D24" s="606"/>
      <c r="E24" s="606"/>
    </row>
    <row r="25" spans="1:5" s="581" customFormat="1" ht="63" customHeight="1" thickBot="1" x14ac:dyDescent="0.3">
      <c r="A25" s="897" t="s">
        <v>1562</v>
      </c>
      <c r="B25" s="898"/>
      <c r="C25" s="898"/>
      <c r="D25" s="898"/>
      <c r="E25" s="898"/>
    </row>
    <row r="26" spans="1:5" s="581" customFormat="1" ht="15.75" thickBot="1" x14ac:dyDescent="0.3">
      <c r="A26" s="608" t="s">
        <v>1523</v>
      </c>
      <c r="B26" s="609" t="s">
        <v>1524</v>
      </c>
      <c r="C26" s="610" t="s">
        <v>1525</v>
      </c>
      <c r="D26" s="610" t="s">
        <v>1526</v>
      </c>
      <c r="E26" s="611" t="s">
        <v>1527</v>
      </c>
    </row>
    <row r="27" spans="1:5" s="581" customFormat="1" ht="15.75" hidden="1" thickBot="1" x14ac:dyDescent="0.3">
      <c r="A27" s="612"/>
      <c r="B27" s="613"/>
      <c r="C27" s="614"/>
      <c r="D27" s="614"/>
      <c r="E27" s="615"/>
    </row>
    <row r="28" spans="1:5" s="581" customFormat="1" ht="45" x14ac:dyDescent="0.25">
      <c r="A28" s="592"/>
      <c r="B28" s="616" t="s">
        <v>1563</v>
      </c>
      <c r="C28" s="617" t="s">
        <v>1564</v>
      </c>
      <c r="D28" s="617" t="s">
        <v>1530</v>
      </c>
      <c r="E28" s="618" t="s">
        <v>1565</v>
      </c>
    </row>
    <row r="29" spans="1:5" s="581" customFormat="1" ht="45" x14ac:dyDescent="0.25">
      <c r="A29" s="598"/>
      <c r="B29" s="599" t="s">
        <v>1566</v>
      </c>
      <c r="C29" s="600" t="s">
        <v>1567</v>
      </c>
      <c r="D29" s="600" t="s">
        <v>1540</v>
      </c>
      <c r="E29" s="601" t="s">
        <v>1531</v>
      </c>
    </row>
    <row r="30" spans="1:5" s="581" customFormat="1" ht="30" x14ac:dyDescent="0.25">
      <c r="A30" s="598"/>
      <c r="B30" s="599" t="s">
        <v>1568</v>
      </c>
      <c r="C30" s="600" t="s">
        <v>1569</v>
      </c>
      <c r="D30" s="600" t="s">
        <v>1540</v>
      </c>
      <c r="E30" s="601" t="s">
        <v>1531</v>
      </c>
    </row>
    <row r="31" spans="1:5" s="581" customFormat="1" ht="30" x14ac:dyDescent="0.25">
      <c r="A31" s="598"/>
      <c r="B31" s="599" t="s">
        <v>1570</v>
      </c>
      <c r="C31" s="600" t="s">
        <v>1571</v>
      </c>
      <c r="D31" s="600" t="s">
        <v>1540</v>
      </c>
      <c r="E31" s="601" t="s">
        <v>1531</v>
      </c>
    </row>
    <row r="32" spans="1:5" s="581" customFormat="1" ht="45" x14ac:dyDescent="0.25">
      <c r="A32" s="598"/>
      <c r="B32" s="599" t="s">
        <v>1572</v>
      </c>
      <c r="C32" s="600" t="s">
        <v>1573</v>
      </c>
      <c r="D32" s="600" t="s">
        <v>1540</v>
      </c>
      <c r="E32" s="601" t="s">
        <v>1531</v>
      </c>
    </row>
    <row r="33" spans="1:5" s="581" customFormat="1" ht="30" x14ac:dyDescent="0.25">
      <c r="A33" s="598"/>
      <c r="B33" s="599" t="s">
        <v>1574</v>
      </c>
      <c r="C33" s="600" t="s">
        <v>1575</v>
      </c>
      <c r="D33" s="600" t="s">
        <v>1540</v>
      </c>
      <c r="E33" s="601" t="s">
        <v>1531</v>
      </c>
    </row>
    <row r="34" spans="1:5" s="581" customFormat="1" ht="30" x14ac:dyDescent="0.25">
      <c r="A34" s="598"/>
      <c r="B34" s="599" t="s">
        <v>1576</v>
      </c>
      <c r="C34" s="600" t="s">
        <v>1577</v>
      </c>
      <c r="D34" s="600" t="s">
        <v>1530</v>
      </c>
      <c r="E34" s="601" t="s">
        <v>1531</v>
      </c>
    </row>
    <row r="35" spans="1:5" s="581" customFormat="1" ht="30.75" thickBot="1" x14ac:dyDescent="0.3">
      <c r="A35" s="602"/>
      <c r="B35" s="603" t="s">
        <v>1578</v>
      </c>
      <c r="C35" s="604" t="s">
        <v>1579</v>
      </c>
      <c r="D35" s="604" t="s">
        <v>1540</v>
      </c>
      <c r="E35" s="605" t="s">
        <v>1531</v>
      </c>
    </row>
    <row r="36" spans="1:5" s="581" customFormat="1" x14ac:dyDescent="0.25">
      <c r="B36" s="606"/>
      <c r="C36" s="606"/>
      <c r="D36" s="606"/>
      <c r="E36" s="606"/>
    </row>
    <row r="37" spans="1:5" s="581" customFormat="1" x14ac:dyDescent="0.25">
      <c r="A37" s="607" t="s">
        <v>1580</v>
      </c>
      <c r="C37" s="606"/>
      <c r="D37" s="606"/>
      <c r="E37" s="606"/>
    </row>
    <row r="38" spans="1:5" s="581" customFormat="1" ht="51" customHeight="1" thickBot="1" x14ac:dyDescent="0.3">
      <c r="A38" s="897" t="s">
        <v>1581</v>
      </c>
      <c r="B38" s="898"/>
      <c r="C38" s="898"/>
      <c r="D38" s="898"/>
      <c r="E38" s="898"/>
    </row>
    <row r="39" spans="1:5" s="581" customFormat="1" ht="15.75" thickBot="1" x14ac:dyDescent="0.3">
      <c r="A39" s="608" t="s">
        <v>1523</v>
      </c>
      <c r="B39" s="609" t="s">
        <v>1524</v>
      </c>
      <c r="C39" s="610" t="s">
        <v>1525</v>
      </c>
      <c r="D39" s="610" t="s">
        <v>1526</v>
      </c>
      <c r="E39" s="611" t="s">
        <v>1527</v>
      </c>
    </row>
    <row r="40" spans="1:5" s="581" customFormat="1" ht="15.75" hidden="1" thickBot="1" x14ac:dyDescent="0.3">
      <c r="A40" s="612"/>
      <c r="B40" s="613"/>
      <c r="C40" s="614"/>
      <c r="D40" s="614"/>
      <c r="E40" s="615"/>
    </row>
    <row r="41" spans="1:5" s="581" customFormat="1" ht="60" x14ac:dyDescent="0.25">
      <c r="A41" s="592"/>
      <c r="B41" s="616" t="s">
        <v>1582</v>
      </c>
      <c r="C41" s="617" t="s">
        <v>1583</v>
      </c>
      <c r="D41" s="617" t="s">
        <v>1530</v>
      </c>
      <c r="E41" s="618" t="s">
        <v>1584</v>
      </c>
    </row>
    <row r="42" spans="1:5" s="581" customFormat="1" ht="60" x14ac:dyDescent="0.25">
      <c r="A42" s="598"/>
      <c r="B42" s="599" t="s">
        <v>1585</v>
      </c>
      <c r="C42" s="600" t="s">
        <v>1586</v>
      </c>
      <c r="D42" s="600" t="s">
        <v>1540</v>
      </c>
      <c r="E42" s="601" t="s">
        <v>1531</v>
      </c>
    </row>
    <row r="43" spans="1:5" s="581" customFormat="1" ht="45.75" thickBot="1" x14ac:dyDescent="0.3">
      <c r="A43" s="602"/>
      <c r="B43" s="603" t="s">
        <v>1587</v>
      </c>
      <c r="C43" s="604" t="s">
        <v>1588</v>
      </c>
      <c r="D43" s="604" t="s">
        <v>1540</v>
      </c>
      <c r="E43" s="605" t="s">
        <v>1531</v>
      </c>
    </row>
    <row r="44" spans="1:5" s="581" customFormat="1" x14ac:dyDescent="0.25">
      <c r="B44" s="606"/>
      <c r="C44" s="606"/>
      <c r="D44" s="606"/>
      <c r="E44" s="606"/>
    </row>
    <row r="45" spans="1:5" s="581" customFormat="1" ht="9.9499999999999993" customHeight="1" x14ac:dyDescent="0.25"/>
    <row r="46" spans="1:5" s="581" customFormat="1" x14ac:dyDescent="0.25">
      <c r="A46" s="607" t="s">
        <v>1589</v>
      </c>
      <c r="C46" s="606"/>
      <c r="D46" s="606"/>
      <c r="E46" s="606"/>
    </row>
    <row r="47" spans="1:5" s="581" customFormat="1" ht="48" customHeight="1" thickBot="1" x14ac:dyDescent="0.3">
      <c r="A47" s="897" t="s">
        <v>1590</v>
      </c>
      <c r="B47" s="898"/>
      <c r="C47" s="898"/>
      <c r="D47" s="898"/>
      <c r="E47" s="898"/>
    </row>
    <row r="48" spans="1:5" s="581" customFormat="1" ht="15.75" thickBot="1" x14ac:dyDescent="0.3">
      <c r="A48" s="608" t="s">
        <v>1523</v>
      </c>
      <c r="B48" s="609" t="s">
        <v>1524</v>
      </c>
      <c r="C48" s="610" t="s">
        <v>1525</v>
      </c>
      <c r="D48" s="610" t="s">
        <v>1526</v>
      </c>
      <c r="E48" s="611" t="s">
        <v>1527</v>
      </c>
    </row>
    <row r="49" spans="1:5" s="581" customFormat="1" ht="15.75" hidden="1" thickBot="1" x14ac:dyDescent="0.3">
      <c r="A49" s="612"/>
      <c r="B49" s="613"/>
      <c r="C49" s="614"/>
      <c r="D49" s="614"/>
      <c r="E49" s="615"/>
    </row>
    <row r="50" spans="1:5" s="581" customFormat="1" ht="90" x14ac:dyDescent="0.25">
      <c r="A50" s="592"/>
      <c r="B50" s="616" t="s">
        <v>1591</v>
      </c>
      <c r="C50" s="617" t="s">
        <v>1592</v>
      </c>
      <c r="D50" s="617" t="s">
        <v>1593</v>
      </c>
      <c r="E50" s="618" t="s">
        <v>1594</v>
      </c>
    </row>
    <row r="51" spans="1:5" s="581" customFormat="1" ht="75" x14ac:dyDescent="0.25">
      <c r="A51" s="598"/>
      <c r="B51" s="599" t="s">
        <v>1595</v>
      </c>
      <c r="C51" s="600" t="s">
        <v>1596</v>
      </c>
      <c r="D51" s="600" t="s">
        <v>1593</v>
      </c>
      <c r="E51" s="601" t="s">
        <v>1597</v>
      </c>
    </row>
    <row r="52" spans="1:5" s="581" customFormat="1" ht="30" x14ac:dyDescent="0.25">
      <c r="A52" s="598"/>
      <c r="B52" s="599" t="s">
        <v>1598</v>
      </c>
      <c r="C52" s="600" t="s">
        <v>1599</v>
      </c>
      <c r="D52" s="600" t="s">
        <v>1593</v>
      </c>
      <c r="E52" s="601" t="s">
        <v>1531</v>
      </c>
    </row>
    <row r="53" spans="1:5" s="581" customFormat="1" ht="75.75" thickBot="1" x14ac:dyDescent="0.3">
      <c r="A53" s="602"/>
      <c r="B53" s="603" t="s">
        <v>1600</v>
      </c>
      <c r="C53" s="604" t="s">
        <v>1601</v>
      </c>
      <c r="D53" s="604" t="s">
        <v>1593</v>
      </c>
      <c r="E53" s="605" t="s">
        <v>1597</v>
      </c>
    </row>
    <row r="54" spans="1:5" s="581" customFormat="1" ht="9.9499999999999993" customHeight="1" x14ac:dyDescent="0.25">
      <c r="B54" s="606"/>
      <c r="C54" s="606"/>
      <c r="D54" s="606"/>
      <c r="E54" s="606"/>
    </row>
    <row r="55" spans="1:5" s="581" customFormat="1" x14ac:dyDescent="0.25">
      <c r="A55" s="607" t="s">
        <v>1602</v>
      </c>
      <c r="C55" s="606"/>
      <c r="D55" s="606"/>
      <c r="E55" s="606"/>
    </row>
    <row r="56" spans="1:5" s="581" customFormat="1" ht="64.5" customHeight="1" thickBot="1" x14ac:dyDescent="0.3">
      <c r="A56" s="897" t="s">
        <v>1603</v>
      </c>
      <c r="B56" s="898"/>
      <c r="C56" s="898"/>
      <c r="D56" s="898"/>
      <c r="E56" s="898"/>
    </row>
    <row r="57" spans="1:5" s="581" customFormat="1" ht="15.75" thickBot="1" x14ac:dyDescent="0.3">
      <c r="A57" s="608" t="s">
        <v>1523</v>
      </c>
      <c r="B57" s="609" t="s">
        <v>1524</v>
      </c>
      <c r="C57" s="610" t="s">
        <v>1525</v>
      </c>
      <c r="D57" s="610" t="s">
        <v>1526</v>
      </c>
      <c r="E57" s="611" t="s">
        <v>1527</v>
      </c>
    </row>
    <row r="58" spans="1:5" s="581" customFormat="1" ht="15.75" hidden="1" thickBot="1" x14ac:dyDescent="0.3">
      <c r="A58" s="612"/>
      <c r="B58" s="613"/>
      <c r="C58" s="614"/>
      <c r="D58" s="614"/>
      <c r="E58" s="615"/>
    </row>
    <row r="59" spans="1:5" s="581" customFormat="1" ht="45" x14ac:dyDescent="0.25">
      <c r="A59" s="592"/>
      <c r="B59" s="616" t="s">
        <v>1604</v>
      </c>
      <c r="C59" s="617" t="s">
        <v>1605</v>
      </c>
      <c r="D59" s="617" t="s">
        <v>1540</v>
      </c>
      <c r="E59" s="618" t="s">
        <v>1531</v>
      </c>
    </row>
    <row r="60" spans="1:5" s="581" customFormat="1" ht="60" x14ac:dyDescent="0.25">
      <c r="A60" s="598"/>
      <c r="B60" s="599" t="s">
        <v>1606</v>
      </c>
      <c r="C60" s="600" t="s">
        <v>1607</v>
      </c>
      <c r="D60" s="600" t="s">
        <v>1540</v>
      </c>
      <c r="E60" s="601" t="s">
        <v>1608</v>
      </c>
    </row>
    <row r="61" spans="1:5" s="581" customFormat="1" ht="30" x14ac:dyDescent="0.25">
      <c r="A61" s="598"/>
      <c r="B61" s="599" t="s">
        <v>1609</v>
      </c>
      <c r="C61" s="600" t="s">
        <v>1610</v>
      </c>
      <c r="D61" s="600" t="s">
        <v>1530</v>
      </c>
      <c r="E61" s="601" t="s">
        <v>1611</v>
      </c>
    </row>
    <row r="62" spans="1:5" s="581" customFormat="1" ht="30" x14ac:dyDescent="0.25">
      <c r="A62" s="598"/>
      <c r="B62" s="599" t="s">
        <v>1612</v>
      </c>
      <c r="C62" s="600" t="s">
        <v>1613</v>
      </c>
      <c r="D62" s="600" t="s">
        <v>1530</v>
      </c>
      <c r="E62" s="601" t="s">
        <v>1531</v>
      </c>
    </row>
    <row r="63" spans="1:5" s="581" customFormat="1" ht="45" x14ac:dyDescent="0.25">
      <c r="A63" s="598"/>
      <c r="B63" s="599" t="s">
        <v>1614</v>
      </c>
      <c r="C63" s="600" t="s">
        <v>1615</v>
      </c>
      <c r="D63" s="600" t="s">
        <v>1530</v>
      </c>
      <c r="E63" s="601" t="s">
        <v>1531</v>
      </c>
    </row>
    <row r="64" spans="1:5" s="581" customFormat="1" ht="30.75" thickBot="1" x14ac:dyDescent="0.3">
      <c r="A64" s="602"/>
      <c r="B64" s="603" t="s">
        <v>1616</v>
      </c>
      <c r="C64" s="604" t="s">
        <v>1617</v>
      </c>
      <c r="D64" s="604" t="s">
        <v>1540</v>
      </c>
      <c r="E64" s="605" t="s">
        <v>1531</v>
      </c>
    </row>
    <row r="65" spans="1:5" s="581" customFormat="1" ht="5.0999999999999996" customHeight="1" x14ac:dyDescent="0.25"/>
    <row r="66" spans="1:5" s="581" customFormat="1" x14ac:dyDescent="0.25">
      <c r="A66" s="624" t="s">
        <v>1618</v>
      </c>
    </row>
    <row r="67" spans="1:5" s="581" customFormat="1" x14ac:dyDescent="0.25">
      <c r="B67" s="619" t="s">
        <v>1540</v>
      </c>
      <c r="C67" s="899" t="s">
        <v>1619</v>
      </c>
      <c r="D67" s="896"/>
      <c r="E67" s="896"/>
    </row>
    <row r="68" spans="1:5" s="581" customFormat="1" ht="30" customHeight="1" x14ac:dyDescent="0.25">
      <c r="B68" s="619" t="s">
        <v>1530</v>
      </c>
      <c r="C68" s="899" t="s">
        <v>1620</v>
      </c>
      <c r="D68" s="896"/>
      <c r="E68" s="896"/>
    </row>
    <row r="69" spans="1:5" s="581" customFormat="1" ht="32.25" customHeight="1" x14ac:dyDescent="0.25">
      <c r="B69" s="620" t="s">
        <v>1593</v>
      </c>
      <c r="C69" s="900" t="s">
        <v>1621</v>
      </c>
      <c r="D69" s="901"/>
      <c r="E69" s="901"/>
    </row>
    <row r="70" spans="1:5" s="581" customFormat="1" ht="9.9499999999999993" customHeight="1" x14ac:dyDescent="0.25"/>
    <row r="71" spans="1:5" s="581" customFormat="1" x14ac:dyDescent="0.25">
      <c r="A71" s="581" t="s">
        <v>1622</v>
      </c>
    </row>
    <row r="72" spans="1:5" s="581" customFormat="1" x14ac:dyDescent="0.25">
      <c r="A72" s="581" t="s">
        <v>1623</v>
      </c>
    </row>
    <row r="73" spans="1:5" s="581" customFormat="1" ht="33.75" customHeight="1" x14ac:dyDescent="0.25">
      <c r="A73" s="895" t="s">
        <v>1624</v>
      </c>
      <c r="B73" s="896"/>
      <c r="C73" s="896"/>
      <c r="D73" s="896"/>
      <c r="E73" s="896"/>
    </row>
    <row r="74" spans="1:5" s="581" customFormat="1" x14ac:dyDescent="0.25">
      <c r="A74" s="583" t="s">
        <v>1625</v>
      </c>
    </row>
  </sheetData>
  <sheetProtection algorithmName="SHA-512" hashValue="8onFqcZn9p0SC2O/ZnNYb8hxigJTB3BN9ZKZiLJXNza0LCo1vXR9E6kQI2oyFlzIQr41lJxh6MOwawpy4s+EKA==" saltValue="8V/zzqltfMyFr+f6AKgKXg==" spinCount="100000" sheet="1" objects="1" scenarios="1"/>
  <mergeCells count="13">
    <mergeCell ref="C67:E67"/>
    <mergeCell ref="C68:E68"/>
    <mergeCell ref="C69:E69"/>
    <mergeCell ref="A73:E73"/>
    <mergeCell ref="A1:E1"/>
    <mergeCell ref="A8:E8"/>
    <mergeCell ref="A25:E25"/>
    <mergeCell ref="A38:E38"/>
    <mergeCell ref="A47:E47"/>
    <mergeCell ref="A56:E56"/>
    <mergeCell ref="D5:E5"/>
    <mergeCell ref="D3:E3"/>
    <mergeCell ref="D4:E4"/>
  </mergeCells>
  <conditionalFormatting sqref="A11:A21">
    <cfRule type="containsText" dxfId="9" priority="17" operator="containsText" text="y">
      <formula>NOT(ISERROR(SEARCH("y",A11)))</formula>
    </cfRule>
    <cfRule type="containsText" dxfId="8" priority="18" operator="containsText" text="a">
      <formula>NOT(ISERROR(SEARCH("a",A11)))</formula>
    </cfRule>
  </conditionalFormatting>
  <conditionalFormatting sqref="A28:A35">
    <cfRule type="containsText" dxfId="7" priority="13" operator="containsText" text="y">
      <formula>NOT(ISERROR(SEARCH("y",A28)))</formula>
    </cfRule>
    <cfRule type="containsText" dxfId="6" priority="14" operator="containsText" text="a">
      <formula>NOT(ISERROR(SEARCH("a",A28)))</formula>
    </cfRule>
  </conditionalFormatting>
  <conditionalFormatting sqref="A41:A43">
    <cfRule type="containsText" dxfId="5" priority="9" operator="containsText" text="y">
      <formula>NOT(ISERROR(SEARCH("y",A41)))</formula>
    </cfRule>
    <cfRule type="containsText" dxfId="4" priority="10" operator="containsText" text="a">
      <formula>NOT(ISERROR(SEARCH("a",A41)))</formula>
    </cfRule>
  </conditionalFormatting>
  <conditionalFormatting sqref="A50:A53">
    <cfRule type="containsText" dxfId="3" priority="5" operator="containsText" text="y">
      <formula>NOT(ISERROR(SEARCH("y",A50)))</formula>
    </cfRule>
    <cfRule type="containsText" dxfId="2" priority="6" operator="containsText" text="a">
      <formula>NOT(ISERROR(SEARCH("a",A50)))</formula>
    </cfRule>
  </conditionalFormatting>
  <conditionalFormatting sqref="A59:A64">
    <cfRule type="containsText" dxfId="1" priority="1" operator="containsText" text="y">
      <formula>NOT(ISERROR(SEARCH("y",A59)))</formula>
    </cfRule>
    <cfRule type="containsText" dxfId="0" priority="2" operator="containsText" text="a">
      <formula>NOT(ISERROR(SEARCH("a",A59)))</formula>
    </cfRule>
  </conditionalFormatting>
  <dataValidations disablePrompts="1" count="1">
    <dataValidation type="custom" errorStyle="information" allowBlank="1" showInputMessage="1" showErrorMessage="1" errorTitle="Fill 'Y'" error="Fill 'Y' if technology used on-board" sqref="A11:A21 A28:A35 A41:A43 A50:A53 A59:A64" xr:uid="{00000000-0002-0000-0E00-000000000000}">
      <formula1>OR(A11="Y", A11="A")</formula1>
    </dataValidation>
  </dataValidations>
  <hyperlinks>
    <hyperlink ref="B11" r:id="rId1" display="http://glomeep.imo.org/technology/auxiliary-systems-optimization/" xr:uid="{00000000-0004-0000-0E00-000000000000}"/>
    <hyperlink ref="B12" r:id="rId2" display="http://glomeep.imo.org/technology/engine-de-rating/" xr:uid="{00000000-0004-0000-0E00-000001000000}"/>
    <hyperlink ref="B13" r:id="rId3" display="http://glomeep.imo.org/technology/engine-performance-optimization-automatic/" xr:uid="{00000000-0004-0000-0E00-000002000000}"/>
    <hyperlink ref="B14" r:id="rId4" display="http://glomeep.imo.org/technology/engine-performance-optimization-manual/" xr:uid="{00000000-0004-0000-0E00-000003000000}"/>
    <hyperlink ref="B15" r:id="rId5" display="http://glomeep.imo.org/technology/exhaust-gas-boilers-on-auxiliary-engines/" xr:uid="{00000000-0004-0000-0E00-000004000000}"/>
    <hyperlink ref="B16" r:id="rId6" display="http://glomeep.imo.org/technology/hybridization-plug-in-or-conventional/" xr:uid="{00000000-0004-0000-0E00-000005000000}"/>
    <hyperlink ref="B17" r:id="rId7" display="http://glomeep.imo.org/technology/improved-auxiliary-engine-load/" xr:uid="{00000000-0004-0000-0E00-000006000000}"/>
    <hyperlink ref="B18" r:id="rId8" display="http://glomeep.imo.org/technology/shaft-generator/" xr:uid="{00000000-0004-0000-0E00-000007000000}"/>
    <hyperlink ref="B19" r:id="rId9" display="http://glomeep.imo.org/technology/shore-power/" xr:uid="{00000000-0004-0000-0E00-000008000000}"/>
    <hyperlink ref="B20" r:id="rId10" display="http://glomeep.imo.org/technology/steam-plant-operation-improvement/" xr:uid="{00000000-0004-0000-0E00-000009000000}"/>
    <hyperlink ref="B21" r:id="rId11" display="http://glomeep.imo.org/technology/waste-heat-recovery-systems/" xr:uid="{00000000-0004-0000-0E00-00000A000000}"/>
    <hyperlink ref="B28" r:id="rId12" display="http://glomeep.imo.org/technology/air-cavity-lubrication/" xr:uid="{00000000-0004-0000-0E00-00000B000000}"/>
    <hyperlink ref="B29" r:id="rId13" display="http://glomeep.imo.org/technology/hull-cleaning/" xr:uid="{00000000-0004-0000-0E00-00000C000000}"/>
    <hyperlink ref="B30" r:id="rId14" display="http://glomeep.imo.org/technology/hull-coating/" xr:uid="{00000000-0004-0000-0E00-00000D000000}"/>
    <hyperlink ref="B31" r:id="rId15" display="http://glomeep.imo.org/technology/hull-form-optimization/" xr:uid="{00000000-0004-0000-0E00-00000E000000}"/>
    <hyperlink ref="B32" r:id="rId16" display="http://glomeep.imo.org/technology/hull-retrofitting/" xr:uid="{00000000-0004-0000-0E00-00000F000000}"/>
    <hyperlink ref="B33" r:id="rId17" display="http://glomeep.imo.org/technology/propeller-polishing/" xr:uid="{00000000-0004-0000-0E00-000010000000}"/>
    <hyperlink ref="B34" r:id="rId18" display="http://glomeep.imo.org/technology/propeller-retrofitting/" xr:uid="{00000000-0004-0000-0E00-000011000000}"/>
    <hyperlink ref="B35" r:id="rId19" display="http://glomeep.imo.org/technology/propulsion-improving-devices-pids/" xr:uid="{00000000-0004-0000-0E00-000012000000}"/>
    <hyperlink ref="B41" r:id="rId20" display="http://glomeep.imo.org/technology/cargo-handling-systems-cargo-discharge-operation/" xr:uid="{00000000-0004-0000-0E00-000013000000}"/>
    <hyperlink ref="B42" r:id="rId21" display="http://glomeep.imo.org/technology/energy-efficient-lighting-system/" xr:uid="{00000000-0004-0000-0E00-000014000000}"/>
    <hyperlink ref="B43" r:id="rId22" display="http://glomeep.imo.org/technology/frequency-controlled-electric-motors/" xr:uid="{00000000-0004-0000-0E00-000015000000}"/>
    <hyperlink ref="B50" r:id="rId23" display="http://glomeep.imo.org/technology/fixed-sails-or-wings/" xr:uid="{00000000-0004-0000-0E00-000016000000}"/>
    <hyperlink ref="B51" r:id="rId24" display="http://glomeep.imo.org/technology/flettner-rotors/" xr:uid="{00000000-0004-0000-0E00-000017000000}"/>
    <hyperlink ref="B52" r:id="rId25" display="http://glomeep.imo.org/technology/kite/" xr:uid="{00000000-0004-0000-0E00-000018000000}"/>
    <hyperlink ref="B53" r:id="rId26" display="http://glomeep.imo.org/technology/solar-panels/" xr:uid="{00000000-0004-0000-0E00-000019000000}"/>
    <hyperlink ref="B59" r:id="rId27" display="http://glomeep.imo.org/technology/autopilot-adjustment-and-use/" xr:uid="{00000000-0004-0000-0E00-00001A000000}"/>
    <hyperlink ref="B60" r:id="rId28" display="http://glomeep.imo.org/technology/combinator-optimizing/" xr:uid="{00000000-0004-0000-0E00-00001B000000}"/>
    <hyperlink ref="B61" r:id="rId29" display="http://glomeep.imo.org/technology/efficient-dp-operation/" xr:uid="{00000000-0004-0000-0E00-00001C000000}"/>
    <hyperlink ref="B62" r:id="rId30" display="http://glomeep.imo.org/technology/speed-management/" xr:uid="{00000000-0004-0000-0E00-00001D000000}"/>
    <hyperlink ref="B63" r:id="rId31" display="http://glomeep.imo.org/technology/trim-and-draft-optimization/" xr:uid="{00000000-0004-0000-0E00-00001E000000}"/>
    <hyperlink ref="B64" r:id="rId32" display="http://glomeep.imo.org/technology/weather-routing/" xr:uid="{00000000-0004-0000-0E00-00001F000000}"/>
    <hyperlink ref="A74" r:id="rId33" display="http://glomeep.imo.org/legal-disclaimer-for-eet-ip/" xr:uid="{00000000-0004-0000-0E00-000020000000}"/>
    <hyperlink ref="A5" r:id="rId34" xr:uid="{00000000-0004-0000-0E00-000021000000}"/>
  </hyperlinks>
  <pageMargins left="0.43307086614173229" right="0.23622047244094491" top="0.39370078740157483" bottom="0.31496062992125984" header="0.23622047244094491" footer="0.15748031496062992"/>
  <pageSetup paperSize="9" scale="86" orientation="portrait" r:id="rId35"/>
  <headerFooter alignWithMargins="0">
    <oddFooter>&amp;L&amp;8CKL TNK / VERSION 2025 / 1.1&amp;R&amp;8&amp;P of &amp;N</oddFooter>
  </headerFooter>
  <rowBreaks count="2" manualBreakCount="2">
    <brk id="22" max="4" man="1"/>
    <brk id="44"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14"/>
  <sheetViews>
    <sheetView zoomScaleNormal="100" zoomScaleSheetLayoutView="100" workbookViewId="0">
      <selection activeCell="I1" sqref="I1"/>
    </sheetView>
  </sheetViews>
  <sheetFormatPr defaultColWidth="9.140625" defaultRowHeight="12.75" x14ac:dyDescent="0.2"/>
  <cols>
    <col min="1" max="7" width="9.140625" style="62"/>
    <col min="8" max="8" width="15.85546875" style="62" customWidth="1"/>
    <col min="9" max="16384" width="9.140625" style="62"/>
  </cols>
  <sheetData>
    <row r="1" spans="1:8" ht="18" x14ac:dyDescent="0.25">
      <c r="A1" s="120" t="s">
        <v>358</v>
      </c>
      <c r="B1" s="121"/>
      <c r="C1" s="121"/>
      <c r="D1" s="121"/>
      <c r="E1" s="121"/>
      <c r="F1" s="121"/>
      <c r="G1" s="121"/>
      <c r="H1" s="121"/>
    </row>
    <row r="2" spans="1:8" ht="18" x14ac:dyDescent="0.25">
      <c r="A2" s="122"/>
      <c r="B2" s="121"/>
      <c r="C2" s="121"/>
      <c r="D2" s="121"/>
      <c r="E2" s="121"/>
      <c r="F2" s="121"/>
      <c r="G2" s="121"/>
      <c r="H2" s="121"/>
    </row>
    <row r="3" spans="1:8" ht="18" x14ac:dyDescent="0.25">
      <c r="A3" s="122"/>
      <c r="B3" s="121"/>
      <c r="C3" s="121"/>
      <c r="D3" s="121"/>
      <c r="E3" s="121"/>
      <c r="F3" s="121"/>
      <c r="G3" s="121"/>
      <c r="H3" s="121"/>
    </row>
    <row r="4" spans="1:8" ht="18" x14ac:dyDescent="0.25">
      <c r="A4" s="122"/>
      <c r="B4" s="121"/>
      <c r="C4" s="121"/>
      <c r="D4" s="121"/>
      <c r="E4" s="121"/>
      <c r="F4" s="121"/>
      <c r="G4" s="121"/>
      <c r="H4" s="121"/>
    </row>
    <row r="5" spans="1:8" ht="18" x14ac:dyDescent="0.25">
      <c r="A5" s="122" t="s">
        <v>1098</v>
      </c>
      <c r="B5" s="121"/>
      <c r="C5" s="121"/>
      <c r="D5" s="121"/>
      <c r="E5" s="121"/>
      <c r="F5" s="121"/>
      <c r="G5" s="121"/>
      <c r="H5" s="121"/>
    </row>
    <row r="6" spans="1:8" ht="18" x14ac:dyDescent="0.25">
      <c r="A6" s="122"/>
      <c r="B6" s="121"/>
      <c r="C6" s="121"/>
      <c r="D6" s="121"/>
      <c r="E6" s="121"/>
      <c r="F6" s="121"/>
      <c r="G6" s="121"/>
      <c r="H6" s="121"/>
    </row>
    <row r="7" spans="1:8" ht="18" x14ac:dyDescent="0.25">
      <c r="A7" s="122" t="s">
        <v>359</v>
      </c>
      <c r="B7" s="121"/>
      <c r="C7" s="121"/>
      <c r="D7" s="121"/>
      <c r="E7" s="121"/>
      <c r="F7" s="121"/>
      <c r="G7" s="121"/>
      <c r="H7" s="121"/>
    </row>
    <row r="8" spans="1:8" x14ac:dyDescent="0.2">
      <c r="A8" s="121"/>
      <c r="B8" s="121"/>
      <c r="C8" s="121"/>
      <c r="D8" s="121"/>
      <c r="E8" s="121"/>
      <c r="F8" s="121"/>
      <c r="G8" s="121"/>
      <c r="H8" s="121"/>
    </row>
    <row r="9" spans="1:8" x14ac:dyDescent="0.2">
      <c r="A9" s="121"/>
      <c r="B9" s="121"/>
      <c r="C9" s="121"/>
      <c r="D9" s="121"/>
      <c r="E9" s="121"/>
      <c r="F9" s="121"/>
      <c r="G9" s="121"/>
      <c r="H9" s="121"/>
    </row>
    <row r="10" spans="1:8" x14ac:dyDescent="0.2">
      <c r="A10" s="121"/>
      <c r="B10" s="121"/>
      <c r="C10" s="121"/>
      <c r="D10" s="121"/>
      <c r="E10" s="121"/>
      <c r="F10" s="121"/>
      <c r="G10" s="121"/>
      <c r="H10" s="121"/>
    </row>
    <row r="11" spans="1:8" x14ac:dyDescent="0.2">
      <c r="A11" s="121"/>
      <c r="B11" s="121"/>
      <c r="C11" s="121"/>
      <c r="D11" s="121"/>
      <c r="E11" s="121"/>
      <c r="F11" s="121"/>
      <c r="G11" s="121"/>
      <c r="H11" s="121"/>
    </row>
    <row r="12" spans="1:8" x14ac:dyDescent="0.2">
      <c r="A12" s="121"/>
      <c r="B12" s="121"/>
      <c r="C12" s="121"/>
      <c r="D12" s="121"/>
      <c r="E12" s="121"/>
      <c r="F12" s="121"/>
      <c r="G12" s="121"/>
      <c r="H12" s="121"/>
    </row>
    <row r="13" spans="1:8" x14ac:dyDescent="0.2">
      <c r="A13" s="121"/>
      <c r="B13" s="121"/>
      <c r="C13" s="121"/>
      <c r="D13" s="121"/>
      <c r="E13" s="121"/>
      <c r="F13" s="121"/>
      <c r="G13" s="121"/>
      <c r="H13" s="121"/>
    </row>
    <row r="14" spans="1:8" x14ac:dyDescent="0.2">
      <c r="A14" s="121"/>
      <c r="B14" s="121"/>
      <c r="C14" s="121"/>
      <c r="D14" s="121"/>
      <c r="E14" s="121"/>
      <c r="F14" s="121"/>
      <c r="G14" s="121"/>
      <c r="H14" s="121"/>
    </row>
  </sheetData>
  <phoneticPr fontId="0" type="noConversion"/>
  <pageMargins left="0.74803149606299213" right="0.74803149606299213" top="0.98425196850393704" bottom="0.98425196850393704" header="0.51181102362204722" footer="0.51181102362204722"/>
  <pageSetup paperSize="9" orientation="portrait" r:id="rId1"/>
  <headerFooter alignWithMargins="0">
    <oddFooter>&amp;R&amp;8&amp;P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X294"/>
  <sheetViews>
    <sheetView zoomScaleNormal="100" zoomScaleSheetLayoutView="85" workbookViewId="0">
      <selection activeCell="F1" sqref="F1"/>
    </sheetView>
  </sheetViews>
  <sheetFormatPr defaultRowHeight="12.75" x14ac:dyDescent="0.2"/>
  <cols>
    <col min="1" max="1" width="3.7109375" customWidth="1"/>
    <col min="2" max="2" width="7.5703125" customWidth="1"/>
    <col min="3" max="3" width="52.5703125" customWidth="1"/>
    <col min="4" max="4" width="85.140625" customWidth="1"/>
    <col min="5" max="5" width="18.42578125" customWidth="1"/>
    <col min="6" max="50" width="9.140625" style="353"/>
  </cols>
  <sheetData>
    <row r="1" spans="1:5" ht="18.75" customHeight="1" thickBot="1" x14ac:dyDescent="0.25">
      <c r="A1" s="1203" t="s">
        <v>918</v>
      </c>
      <c r="B1" s="1204"/>
      <c r="C1" s="1204"/>
      <c r="D1" s="1204"/>
      <c r="E1" s="1205"/>
    </row>
    <row r="2" spans="1:5" ht="75" customHeight="1" thickBot="1" x14ac:dyDescent="0.25">
      <c r="A2" s="477" t="s">
        <v>491</v>
      </c>
      <c r="B2" s="14" t="s">
        <v>295</v>
      </c>
      <c r="C2" s="15"/>
      <c r="D2" s="16" t="s">
        <v>492</v>
      </c>
      <c r="E2" s="16" t="s">
        <v>493</v>
      </c>
    </row>
    <row r="3" spans="1:5" ht="13.5" thickBot="1" x14ac:dyDescent="0.25">
      <c r="A3" s="478"/>
      <c r="B3" s="17">
        <v>8100</v>
      </c>
      <c r="C3" s="18" t="s">
        <v>494</v>
      </c>
      <c r="D3" s="63"/>
      <c r="E3" s="479"/>
    </row>
    <row r="4" spans="1:5" ht="16.5" customHeight="1" thickBot="1" x14ac:dyDescent="0.25">
      <c r="A4" s="478"/>
      <c r="B4" s="193">
        <v>8101</v>
      </c>
      <c r="C4" s="194" t="s">
        <v>495</v>
      </c>
      <c r="D4" s="195"/>
      <c r="E4" s="480"/>
    </row>
    <row r="5" spans="1:5" x14ac:dyDescent="0.2">
      <c r="A5" s="481"/>
      <c r="B5" s="196" t="s">
        <v>496</v>
      </c>
      <c r="C5" s="197" t="s">
        <v>473</v>
      </c>
      <c r="D5" s="198" t="s">
        <v>443</v>
      </c>
      <c r="E5" s="482"/>
    </row>
    <row r="6" spans="1:5" x14ac:dyDescent="0.2">
      <c r="A6" s="117"/>
      <c r="B6" s="199" t="s">
        <v>444</v>
      </c>
      <c r="C6" s="200" t="s">
        <v>445</v>
      </c>
      <c r="D6" s="201" t="s">
        <v>446</v>
      </c>
      <c r="E6" s="483"/>
    </row>
    <row r="7" spans="1:5" x14ac:dyDescent="0.2">
      <c r="A7" s="117"/>
      <c r="B7" s="199" t="s">
        <v>1160</v>
      </c>
      <c r="C7" s="200" t="s">
        <v>360</v>
      </c>
      <c r="D7" s="201" t="s">
        <v>540</v>
      </c>
      <c r="E7" s="483"/>
    </row>
    <row r="8" spans="1:5" x14ac:dyDescent="0.2">
      <c r="A8" s="117"/>
      <c r="B8" s="199" t="s">
        <v>541</v>
      </c>
      <c r="C8" s="200" t="s">
        <v>184</v>
      </c>
      <c r="D8" s="201" t="s">
        <v>1184</v>
      </c>
      <c r="E8" s="483"/>
    </row>
    <row r="9" spans="1:5" ht="13.5" thickBot="1" x14ac:dyDescent="0.25">
      <c r="A9" s="484"/>
      <c r="B9" s="199" t="s">
        <v>1185</v>
      </c>
      <c r="C9" s="200" t="s">
        <v>872</v>
      </c>
      <c r="D9" s="201" t="s">
        <v>489</v>
      </c>
      <c r="E9" s="483"/>
    </row>
    <row r="10" spans="1:5" ht="16.5" customHeight="1" thickBot="1" x14ac:dyDescent="0.25">
      <c r="A10" s="65"/>
      <c r="B10" s="193">
        <v>8102</v>
      </c>
      <c r="C10" s="194" t="s">
        <v>132</v>
      </c>
      <c r="D10" s="195"/>
      <c r="E10" s="478"/>
    </row>
    <row r="11" spans="1:5" x14ac:dyDescent="0.2">
      <c r="A11" s="485"/>
      <c r="B11" s="199" t="s">
        <v>425</v>
      </c>
      <c r="C11" s="200" t="s">
        <v>426</v>
      </c>
      <c r="D11" s="201" t="s">
        <v>1158</v>
      </c>
      <c r="E11" s="483"/>
    </row>
    <row r="12" spans="1:5" x14ac:dyDescent="0.2">
      <c r="A12" s="486"/>
      <c r="B12" s="202" t="s">
        <v>1159</v>
      </c>
      <c r="C12" s="203" t="s">
        <v>790</v>
      </c>
      <c r="D12" s="204" t="s">
        <v>1144</v>
      </c>
      <c r="E12" s="487"/>
    </row>
    <row r="13" spans="1:5" x14ac:dyDescent="0.2">
      <c r="A13" s="486"/>
      <c r="B13" s="202" t="s">
        <v>1145</v>
      </c>
      <c r="C13" s="203" t="s">
        <v>1146</v>
      </c>
      <c r="D13" s="204" t="s">
        <v>955</v>
      </c>
      <c r="E13" s="487"/>
    </row>
    <row r="14" spans="1:5" x14ac:dyDescent="0.2">
      <c r="A14" s="486"/>
      <c r="B14" s="202" t="s">
        <v>835</v>
      </c>
      <c r="C14" s="203" t="s">
        <v>836</v>
      </c>
      <c r="D14" s="204" t="s">
        <v>224</v>
      </c>
      <c r="E14" s="487"/>
    </row>
    <row r="15" spans="1:5" x14ac:dyDescent="0.2">
      <c r="A15" s="486"/>
      <c r="B15" s="202" t="s">
        <v>225</v>
      </c>
      <c r="C15" s="205" t="s">
        <v>226</v>
      </c>
      <c r="D15" s="206" t="s">
        <v>96</v>
      </c>
      <c r="E15" s="488"/>
    </row>
    <row r="16" spans="1:5" x14ac:dyDescent="0.2">
      <c r="A16" s="486"/>
      <c r="B16" s="202" t="s">
        <v>97</v>
      </c>
      <c r="C16" s="205" t="s">
        <v>580</v>
      </c>
      <c r="D16" s="206" t="s">
        <v>1179</v>
      </c>
      <c r="E16" s="488"/>
    </row>
    <row r="17" spans="1:5" ht="13.5" thickBot="1" x14ac:dyDescent="0.25">
      <c r="A17" s="489"/>
      <c r="B17" s="202" t="s">
        <v>586</v>
      </c>
      <c r="C17" s="205" t="s">
        <v>380</v>
      </c>
      <c r="D17" s="206" t="s">
        <v>718</v>
      </c>
      <c r="E17" s="488"/>
    </row>
    <row r="18" spans="1:5" ht="18.75" customHeight="1" thickBot="1" x14ac:dyDescent="0.25">
      <c r="A18" s="65"/>
      <c r="B18" s="207">
        <v>8103</v>
      </c>
      <c r="C18" s="208" t="s">
        <v>592</v>
      </c>
      <c r="D18" s="195"/>
      <c r="E18" s="480"/>
    </row>
    <row r="19" spans="1:5" x14ac:dyDescent="0.2">
      <c r="A19" s="485"/>
      <c r="B19" s="199" t="s">
        <v>593</v>
      </c>
      <c r="C19" s="197" t="s">
        <v>594</v>
      </c>
      <c r="D19" s="198" t="s">
        <v>438</v>
      </c>
      <c r="E19" s="482"/>
    </row>
    <row r="20" spans="1:5" x14ac:dyDescent="0.2">
      <c r="A20" s="486"/>
      <c r="B20" s="202" t="s">
        <v>439</v>
      </c>
      <c r="C20" s="203" t="s">
        <v>440</v>
      </c>
      <c r="D20" s="204" t="s">
        <v>1015</v>
      </c>
      <c r="E20" s="487"/>
    </row>
    <row r="21" spans="1:5" x14ac:dyDescent="0.2">
      <c r="A21" s="486"/>
      <c r="B21" s="202" t="s">
        <v>1016</v>
      </c>
      <c r="C21" s="203" t="s">
        <v>923</v>
      </c>
      <c r="D21" s="204" t="s">
        <v>1017</v>
      </c>
      <c r="E21" s="487"/>
    </row>
    <row r="22" spans="1:5" x14ac:dyDescent="0.2">
      <c r="A22" s="486"/>
      <c r="B22" s="202" t="s">
        <v>1018</v>
      </c>
      <c r="C22" s="203" t="s">
        <v>1019</v>
      </c>
      <c r="D22" s="204" t="s">
        <v>1020</v>
      </c>
      <c r="E22" s="487"/>
    </row>
    <row r="23" spans="1:5" x14ac:dyDescent="0.2">
      <c r="A23" s="486"/>
      <c r="B23" s="202" t="s">
        <v>1021</v>
      </c>
      <c r="C23" s="203" t="s">
        <v>607</v>
      </c>
      <c r="D23" s="204" t="s">
        <v>608</v>
      </c>
      <c r="E23" s="487"/>
    </row>
    <row r="24" spans="1:5" x14ac:dyDescent="0.2">
      <c r="A24" s="486"/>
      <c r="B24" s="202" t="s">
        <v>609</v>
      </c>
      <c r="C24" s="203" t="s">
        <v>610</v>
      </c>
      <c r="D24" s="204" t="s">
        <v>792</v>
      </c>
      <c r="E24" s="487"/>
    </row>
    <row r="25" spans="1:5" x14ac:dyDescent="0.2">
      <c r="A25" s="486"/>
      <c r="B25" s="202" t="s">
        <v>522</v>
      </c>
      <c r="C25" s="203" t="s">
        <v>523</v>
      </c>
      <c r="D25" s="204" t="s">
        <v>524</v>
      </c>
      <c r="E25" s="487"/>
    </row>
    <row r="26" spans="1:5" x14ac:dyDescent="0.2">
      <c r="A26" s="486"/>
      <c r="B26" s="202" t="s">
        <v>1154</v>
      </c>
      <c r="C26" s="203" t="s">
        <v>34</v>
      </c>
      <c r="D26" s="204" t="s">
        <v>35</v>
      </c>
      <c r="E26" s="487"/>
    </row>
    <row r="27" spans="1:5" ht="13.5" thickBot="1" x14ac:dyDescent="0.25">
      <c r="A27" s="489"/>
      <c r="B27" s="209" t="s">
        <v>36</v>
      </c>
      <c r="C27" s="205" t="s">
        <v>37</v>
      </c>
      <c r="D27" s="206" t="s">
        <v>422</v>
      </c>
      <c r="E27" s="488"/>
    </row>
    <row r="28" spans="1:5" ht="18.75" customHeight="1" thickBot="1" x14ac:dyDescent="0.25">
      <c r="A28" s="65"/>
      <c r="B28" s="207">
        <v>8104</v>
      </c>
      <c r="C28" s="210" t="s">
        <v>423</v>
      </c>
      <c r="D28" s="195"/>
      <c r="E28" s="480"/>
    </row>
    <row r="29" spans="1:5" x14ac:dyDescent="0.2">
      <c r="A29" s="485"/>
      <c r="B29" s="199" t="s">
        <v>424</v>
      </c>
      <c r="C29" s="200" t="s">
        <v>699</v>
      </c>
      <c r="D29" s="201" t="s">
        <v>744</v>
      </c>
      <c r="E29" s="483"/>
    </row>
    <row r="30" spans="1:5" x14ac:dyDescent="0.2">
      <c r="A30" s="486"/>
      <c r="B30" s="202" t="s">
        <v>576</v>
      </c>
      <c r="C30" s="203" t="s">
        <v>1170</v>
      </c>
      <c r="D30" s="204" t="s">
        <v>1171</v>
      </c>
      <c r="E30" s="487"/>
    </row>
    <row r="31" spans="1:5" x14ac:dyDescent="0.2">
      <c r="A31" s="486"/>
      <c r="B31" s="209" t="s">
        <v>1172</v>
      </c>
      <c r="C31" s="205" t="s">
        <v>744</v>
      </c>
      <c r="D31" s="206" t="s">
        <v>1173</v>
      </c>
      <c r="E31" s="488"/>
    </row>
    <row r="32" spans="1:5" ht="13.5" thickBot="1" x14ac:dyDescent="0.25">
      <c r="A32" s="489"/>
      <c r="B32" s="209">
        <v>8104.4</v>
      </c>
      <c r="C32" s="205" t="s">
        <v>1174</v>
      </c>
      <c r="D32" s="206" t="s">
        <v>1175</v>
      </c>
      <c r="E32" s="488"/>
    </row>
    <row r="33" spans="1:5" s="15" customFormat="1" ht="16.5" customHeight="1" thickBot="1" x14ac:dyDescent="0.25">
      <c r="A33" s="65"/>
      <c r="B33" s="193">
        <v>8105</v>
      </c>
      <c r="C33" s="194" t="s">
        <v>516</v>
      </c>
      <c r="D33" s="195"/>
      <c r="E33" s="480"/>
    </row>
    <row r="34" spans="1:5" s="19" customFormat="1" x14ac:dyDescent="0.2">
      <c r="A34" s="485"/>
      <c r="B34" s="199" t="s">
        <v>410</v>
      </c>
      <c r="C34" s="200" t="s">
        <v>463</v>
      </c>
      <c r="D34" s="201"/>
      <c r="E34" s="483"/>
    </row>
    <row r="35" spans="1:5" x14ac:dyDescent="0.2">
      <c r="A35" s="486"/>
      <c r="B35" s="202" t="s">
        <v>185</v>
      </c>
      <c r="C35" s="203" t="s">
        <v>186</v>
      </c>
      <c r="D35" s="204" t="s">
        <v>187</v>
      </c>
      <c r="E35" s="487"/>
    </row>
    <row r="36" spans="1:5" x14ac:dyDescent="0.2">
      <c r="A36" s="486"/>
      <c r="B36" s="202" t="s">
        <v>188</v>
      </c>
      <c r="C36" s="203" t="s">
        <v>189</v>
      </c>
      <c r="D36" s="204" t="s">
        <v>1125</v>
      </c>
      <c r="E36" s="487"/>
    </row>
    <row r="37" spans="1:5" x14ac:dyDescent="0.2">
      <c r="A37" s="486"/>
      <c r="B37" s="202" t="s">
        <v>1164</v>
      </c>
      <c r="C37" s="203" t="s">
        <v>1165</v>
      </c>
      <c r="D37" s="204" t="s">
        <v>736</v>
      </c>
      <c r="E37" s="487"/>
    </row>
    <row r="38" spans="1:5" ht="13.5" thickBot="1" x14ac:dyDescent="0.25">
      <c r="A38" s="490"/>
      <c r="B38" s="214" t="s">
        <v>737</v>
      </c>
      <c r="C38" s="215" t="s">
        <v>581</v>
      </c>
      <c r="D38" s="216" t="s">
        <v>1173</v>
      </c>
      <c r="E38" s="491"/>
    </row>
    <row r="39" spans="1:5" ht="18.75" customHeight="1" thickBot="1" x14ac:dyDescent="0.25">
      <c r="A39" s="1206" t="s">
        <v>919</v>
      </c>
      <c r="B39" s="1207"/>
      <c r="C39" s="1207"/>
      <c r="D39" s="1207"/>
      <c r="E39" s="1208"/>
    </row>
    <row r="40" spans="1:5" ht="66" customHeight="1" thickBot="1" x14ac:dyDescent="0.25">
      <c r="A40" s="477" t="s">
        <v>491</v>
      </c>
      <c r="B40" s="14" t="s">
        <v>295</v>
      </c>
      <c r="C40" s="15"/>
      <c r="D40" s="16" t="s">
        <v>492</v>
      </c>
      <c r="E40" s="16" t="s">
        <v>493</v>
      </c>
    </row>
    <row r="41" spans="1:5" ht="13.5" thickBot="1" x14ac:dyDescent="0.25">
      <c r="A41" s="65"/>
      <c r="B41" s="17">
        <v>8100</v>
      </c>
      <c r="C41" s="18" t="s">
        <v>494</v>
      </c>
      <c r="D41" s="63"/>
      <c r="E41" s="479"/>
    </row>
    <row r="42" spans="1:5" ht="15.75" customHeight="1" thickBot="1" x14ac:dyDescent="0.25">
      <c r="A42" s="65"/>
      <c r="B42" s="193">
        <v>8106</v>
      </c>
      <c r="C42" s="194" t="s">
        <v>738</v>
      </c>
      <c r="D42" s="195"/>
      <c r="E42" s="480"/>
    </row>
    <row r="43" spans="1:5" x14ac:dyDescent="0.2">
      <c r="A43" s="492"/>
      <c r="B43" s="199" t="s">
        <v>739</v>
      </c>
      <c r="C43" s="200" t="s">
        <v>582</v>
      </c>
      <c r="D43" s="201" t="s">
        <v>456</v>
      </c>
      <c r="E43" s="483"/>
    </row>
    <row r="44" spans="1:5" x14ac:dyDescent="0.2">
      <c r="A44" s="486"/>
      <c r="B44" s="202" t="s">
        <v>457</v>
      </c>
      <c r="C44" s="203" t="s">
        <v>458</v>
      </c>
      <c r="D44" s="204"/>
      <c r="E44" s="487"/>
    </row>
    <row r="45" spans="1:5" x14ac:dyDescent="0.2">
      <c r="A45" s="486"/>
      <c r="B45" s="202" t="s">
        <v>459</v>
      </c>
      <c r="C45" s="203" t="s">
        <v>460</v>
      </c>
      <c r="D45" s="204"/>
      <c r="E45" s="487"/>
    </row>
    <row r="46" spans="1:5" x14ac:dyDescent="0.2">
      <c r="A46" s="486"/>
      <c r="B46" s="209" t="s">
        <v>461</v>
      </c>
      <c r="C46" s="205" t="s">
        <v>462</v>
      </c>
      <c r="D46" s="206" t="s">
        <v>355</v>
      </c>
      <c r="E46" s="488"/>
    </row>
    <row r="47" spans="1:5" x14ac:dyDescent="0.2">
      <c r="A47" s="486"/>
      <c r="B47" s="209" t="s">
        <v>356</v>
      </c>
      <c r="C47" s="205" t="s">
        <v>357</v>
      </c>
      <c r="D47" s="206" t="s">
        <v>1113</v>
      </c>
      <c r="E47" s="488"/>
    </row>
    <row r="48" spans="1:5" x14ac:dyDescent="0.2">
      <c r="A48" s="486"/>
      <c r="B48" s="202" t="s">
        <v>1114</v>
      </c>
      <c r="C48" s="203" t="s">
        <v>536</v>
      </c>
      <c r="D48" s="204" t="s">
        <v>464</v>
      </c>
      <c r="E48" s="493"/>
    </row>
    <row r="49" spans="1:5" ht="13.5" thickBot="1" x14ac:dyDescent="0.25">
      <c r="A49" s="489"/>
      <c r="B49" s="211" t="s">
        <v>465</v>
      </c>
      <c r="C49" s="212" t="s">
        <v>466</v>
      </c>
      <c r="D49" s="213" t="s">
        <v>467</v>
      </c>
      <c r="E49" s="494"/>
    </row>
    <row r="50" spans="1:5" ht="15.75" customHeight="1" thickBot="1" x14ac:dyDescent="0.25">
      <c r="A50" s="65"/>
      <c r="B50" s="193">
        <v>8107</v>
      </c>
      <c r="C50" s="194" t="s">
        <v>468</v>
      </c>
      <c r="D50" s="195"/>
      <c r="E50" s="478"/>
    </row>
    <row r="51" spans="1:5" x14ac:dyDescent="0.2">
      <c r="A51" s="485"/>
      <c r="B51" s="199" t="s">
        <v>469</v>
      </c>
      <c r="C51" s="200" t="s">
        <v>470</v>
      </c>
      <c r="D51" s="201" t="s">
        <v>497</v>
      </c>
      <c r="E51" s="483"/>
    </row>
    <row r="52" spans="1:5" ht="13.5" thickBot="1" x14ac:dyDescent="0.25">
      <c r="A52" s="489"/>
      <c r="B52" s="199" t="s">
        <v>498</v>
      </c>
      <c r="C52" s="203" t="s">
        <v>499</v>
      </c>
      <c r="D52" s="204" t="s">
        <v>500</v>
      </c>
      <c r="E52" s="487"/>
    </row>
    <row r="53" spans="1:5" ht="15.75" customHeight="1" thickBot="1" x14ac:dyDescent="0.25">
      <c r="A53" s="65"/>
      <c r="B53" s="193">
        <v>8108</v>
      </c>
      <c r="C53" s="194" t="s">
        <v>501</v>
      </c>
      <c r="D53" s="195"/>
      <c r="E53" s="480"/>
    </row>
    <row r="54" spans="1:5" x14ac:dyDescent="0.2">
      <c r="A54" s="485"/>
      <c r="B54" s="199" t="s">
        <v>502</v>
      </c>
      <c r="C54" s="200" t="s">
        <v>503</v>
      </c>
      <c r="D54" s="201" t="s">
        <v>504</v>
      </c>
      <c r="E54" s="483"/>
    </row>
    <row r="55" spans="1:5" x14ac:dyDescent="0.2">
      <c r="A55" s="486"/>
      <c r="B55" s="202" t="s">
        <v>505</v>
      </c>
      <c r="C55" s="203" t="s">
        <v>506</v>
      </c>
      <c r="D55" s="201" t="s">
        <v>497</v>
      </c>
      <c r="E55" s="487"/>
    </row>
    <row r="56" spans="1:5" ht="13.5" thickBot="1" x14ac:dyDescent="0.25">
      <c r="A56" s="489"/>
      <c r="B56" s="202" t="s">
        <v>507</v>
      </c>
      <c r="C56" s="203" t="s">
        <v>1048</v>
      </c>
      <c r="D56" s="204" t="s">
        <v>1049</v>
      </c>
      <c r="E56" s="487"/>
    </row>
    <row r="57" spans="1:5" ht="13.7" customHeight="1" thickBot="1" x14ac:dyDescent="0.25">
      <c r="A57" s="65"/>
      <c r="B57" s="193">
        <v>8109</v>
      </c>
      <c r="C57" s="194" t="s">
        <v>1050</v>
      </c>
      <c r="D57" s="195"/>
      <c r="E57" s="480"/>
    </row>
    <row r="58" spans="1:5" x14ac:dyDescent="0.2">
      <c r="A58" s="485"/>
      <c r="B58" s="199" t="s">
        <v>1051</v>
      </c>
      <c r="C58" s="197" t="s">
        <v>980</v>
      </c>
      <c r="D58" s="198" t="s">
        <v>981</v>
      </c>
      <c r="E58" s="482"/>
    </row>
    <row r="59" spans="1:5" x14ac:dyDescent="0.2">
      <c r="A59" s="486"/>
      <c r="B59" s="202" t="s">
        <v>982</v>
      </c>
      <c r="C59" s="203" t="s">
        <v>265</v>
      </c>
      <c r="D59" s="201" t="s">
        <v>981</v>
      </c>
      <c r="E59" s="487"/>
    </row>
    <row r="60" spans="1:5" ht="13.5" thickBot="1" x14ac:dyDescent="0.25">
      <c r="A60" s="489"/>
      <c r="B60" s="214" t="s">
        <v>266</v>
      </c>
      <c r="C60" s="215" t="s">
        <v>267</v>
      </c>
      <c r="D60" s="216" t="s">
        <v>336</v>
      </c>
      <c r="E60" s="491"/>
    </row>
    <row r="61" spans="1:5" ht="13.7" customHeight="1" thickBot="1" x14ac:dyDescent="0.25">
      <c r="A61" s="65"/>
      <c r="B61" s="217">
        <v>8110</v>
      </c>
      <c r="C61" s="194" t="s">
        <v>337</v>
      </c>
      <c r="D61" s="195"/>
      <c r="E61" s="480"/>
    </row>
    <row r="62" spans="1:5" x14ac:dyDescent="0.2">
      <c r="A62" s="485"/>
      <c r="B62" s="196" t="s">
        <v>338</v>
      </c>
      <c r="C62" s="197" t="s">
        <v>1046</v>
      </c>
      <c r="D62" s="198"/>
      <c r="E62" s="482"/>
    </row>
    <row r="63" spans="1:5" x14ac:dyDescent="0.2">
      <c r="A63" s="486"/>
      <c r="B63" s="202" t="s">
        <v>1047</v>
      </c>
      <c r="C63" s="203" t="s">
        <v>1117</v>
      </c>
      <c r="D63" s="204" t="s">
        <v>653</v>
      </c>
      <c r="E63" s="487"/>
    </row>
    <row r="64" spans="1:5" ht="13.5" thickBot="1" x14ac:dyDescent="0.25">
      <c r="A64" s="489"/>
      <c r="B64" s="209" t="s">
        <v>654</v>
      </c>
      <c r="C64" s="215" t="s">
        <v>640</v>
      </c>
      <c r="D64" s="216" t="s">
        <v>641</v>
      </c>
      <c r="E64" s="491"/>
    </row>
    <row r="65" spans="1:5" ht="13.7" customHeight="1" thickBot="1" x14ac:dyDescent="0.25">
      <c r="A65" s="65"/>
      <c r="B65" s="217">
        <v>8111</v>
      </c>
      <c r="C65" s="218" t="s">
        <v>642</v>
      </c>
      <c r="D65" s="195"/>
      <c r="E65" s="480"/>
    </row>
    <row r="66" spans="1:5" x14ac:dyDescent="0.2">
      <c r="A66" s="485"/>
      <c r="B66" s="196" t="s">
        <v>611</v>
      </c>
      <c r="C66" s="197" t="s">
        <v>1149</v>
      </c>
      <c r="D66" s="198"/>
      <c r="E66" s="482"/>
    </row>
    <row r="67" spans="1:5" x14ac:dyDescent="0.2">
      <c r="A67" s="486"/>
      <c r="B67" s="202" t="s">
        <v>612</v>
      </c>
      <c r="C67" s="203" t="s">
        <v>613</v>
      </c>
      <c r="D67" s="204" t="s">
        <v>614</v>
      </c>
      <c r="E67" s="487"/>
    </row>
    <row r="68" spans="1:5" ht="13.5" thickBot="1" x14ac:dyDescent="0.25">
      <c r="A68" s="489"/>
      <c r="B68" s="209" t="s">
        <v>615</v>
      </c>
      <c r="C68" s="205" t="s">
        <v>616</v>
      </c>
      <c r="D68" s="206" t="s">
        <v>678</v>
      </c>
      <c r="E68" s="488"/>
    </row>
    <row r="69" spans="1:5" ht="13.7" customHeight="1" thickBot="1" x14ac:dyDescent="0.25">
      <c r="A69" s="65"/>
      <c r="B69" s="217">
        <v>8112</v>
      </c>
      <c r="C69" s="194" t="s">
        <v>390</v>
      </c>
      <c r="D69" s="195"/>
      <c r="E69" s="480"/>
    </row>
    <row r="70" spans="1:5" x14ac:dyDescent="0.2">
      <c r="A70" s="485"/>
      <c r="B70" s="196" t="s">
        <v>391</v>
      </c>
      <c r="C70" s="197" t="s">
        <v>392</v>
      </c>
      <c r="D70" s="198" t="s">
        <v>393</v>
      </c>
      <c r="E70" s="482"/>
    </row>
    <row r="71" spans="1:5" ht="13.5" thickBot="1" x14ac:dyDescent="0.25">
      <c r="A71" s="489"/>
      <c r="B71" s="209" t="s">
        <v>394</v>
      </c>
      <c r="C71" s="205" t="s">
        <v>395</v>
      </c>
      <c r="D71" s="216" t="s">
        <v>545</v>
      </c>
      <c r="E71" s="491"/>
    </row>
    <row r="72" spans="1:5" ht="15.75" customHeight="1" thickBot="1" x14ac:dyDescent="0.25">
      <c r="A72" s="65"/>
      <c r="B72" s="217">
        <v>8113</v>
      </c>
      <c r="C72" s="194" t="s">
        <v>471</v>
      </c>
      <c r="D72" s="195"/>
      <c r="E72" s="480"/>
    </row>
    <row r="73" spans="1:5" x14ac:dyDescent="0.2">
      <c r="A73" s="485"/>
      <c r="B73" s="196" t="s">
        <v>752</v>
      </c>
      <c r="C73" s="197" t="s">
        <v>753</v>
      </c>
      <c r="D73" s="198" t="s">
        <v>754</v>
      </c>
      <c r="E73" s="482"/>
    </row>
    <row r="74" spans="1:5" x14ac:dyDescent="0.2">
      <c r="A74" s="486"/>
      <c r="B74" s="202" t="s">
        <v>755</v>
      </c>
      <c r="C74" s="203" t="s">
        <v>756</v>
      </c>
      <c r="D74" s="204" t="s">
        <v>876</v>
      </c>
      <c r="E74" s="487"/>
    </row>
    <row r="75" spans="1:5" ht="13.5" thickBot="1" x14ac:dyDescent="0.25">
      <c r="A75" s="489"/>
      <c r="B75" s="209" t="s">
        <v>643</v>
      </c>
      <c r="C75" s="205" t="s">
        <v>583</v>
      </c>
      <c r="D75" s="206" t="s">
        <v>584</v>
      </c>
      <c r="E75" s="488"/>
    </row>
    <row r="76" spans="1:5" s="15" customFormat="1" ht="15.75" customHeight="1" thickBot="1" x14ac:dyDescent="0.25">
      <c r="A76" s="65"/>
      <c r="B76" s="217">
        <v>8114</v>
      </c>
      <c r="C76" s="194" t="s">
        <v>585</v>
      </c>
      <c r="D76" s="195"/>
      <c r="E76" s="480"/>
    </row>
    <row r="77" spans="1:5" x14ac:dyDescent="0.2">
      <c r="A77" s="485"/>
      <c r="B77" s="199" t="s">
        <v>1063</v>
      </c>
      <c r="C77" s="200" t="s">
        <v>1064</v>
      </c>
      <c r="D77" s="201" t="s">
        <v>1065</v>
      </c>
      <c r="E77" s="483"/>
    </row>
    <row r="78" spans="1:5" x14ac:dyDescent="0.2">
      <c r="A78" s="486"/>
      <c r="B78" s="202" t="s">
        <v>1066</v>
      </c>
      <c r="C78" s="203" t="s">
        <v>1067</v>
      </c>
      <c r="D78" s="204" t="s">
        <v>1065</v>
      </c>
      <c r="E78" s="487"/>
    </row>
    <row r="79" spans="1:5" ht="13.5" thickBot="1" x14ac:dyDescent="0.25">
      <c r="A79" s="490"/>
      <c r="B79" s="214" t="s">
        <v>643</v>
      </c>
      <c r="C79" s="215" t="s">
        <v>324</v>
      </c>
      <c r="D79" s="216" t="s">
        <v>1065</v>
      </c>
      <c r="E79" s="491"/>
    </row>
    <row r="80" spans="1:5" ht="22.7" customHeight="1" thickBot="1" x14ac:dyDescent="0.25">
      <c r="A80" s="1203" t="s">
        <v>918</v>
      </c>
      <c r="B80" s="1204"/>
      <c r="C80" s="1204"/>
      <c r="D80" s="1204"/>
      <c r="E80" s="1205"/>
    </row>
    <row r="81" spans="1:5" ht="68.25" customHeight="1" thickBot="1" x14ac:dyDescent="0.25">
      <c r="A81" s="477" t="s">
        <v>491</v>
      </c>
      <c r="B81" s="14" t="s">
        <v>295</v>
      </c>
      <c r="C81" s="15"/>
      <c r="D81" s="16" t="s">
        <v>492</v>
      </c>
      <c r="E81" s="16" t="s">
        <v>493</v>
      </c>
    </row>
    <row r="82" spans="1:5" ht="13.5" thickBot="1" x14ac:dyDescent="0.25">
      <c r="A82" s="65"/>
      <c r="B82" s="17">
        <v>8100</v>
      </c>
      <c r="C82" s="18" t="s">
        <v>494</v>
      </c>
      <c r="D82" s="63"/>
      <c r="E82" s="479"/>
    </row>
    <row r="83" spans="1:5" ht="18.75" customHeight="1" thickBot="1" x14ac:dyDescent="0.25">
      <c r="A83" s="65"/>
      <c r="B83" s="219">
        <v>8115</v>
      </c>
      <c r="C83" s="210" t="s">
        <v>325</v>
      </c>
      <c r="D83" s="195"/>
      <c r="E83" s="478"/>
    </row>
    <row r="84" spans="1:5" x14ac:dyDescent="0.2">
      <c r="A84" s="492"/>
      <c r="B84" s="199" t="s">
        <v>326</v>
      </c>
      <c r="C84" s="200" t="s">
        <v>1086</v>
      </c>
      <c r="D84" s="201" t="s">
        <v>2</v>
      </c>
      <c r="E84" s="483"/>
    </row>
    <row r="85" spans="1:5" ht="13.5" thickBot="1" x14ac:dyDescent="0.25">
      <c r="A85" s="489"/>
      <c r="B85" s="199" t="s">
        <v>3</v>
      </c>
      <c r="C85" s="203" t="s">
        <v>429</v>
      </c>
      <c r="D85" s="204" t="s">
        <v>171</v>
      </c>
      <c r="E85" s="487"/>
    </row>
    <row r="86" spans="1:5" ht="18.75" customHeight="1" thickBot="1" x14ac:dyDescent="0.25">
      <c r="A86" s="65"/>
      <c r="B86" s="217">
        <v>8116</v>
      </c>
      <c r="C86" s="194" t="s">
        <v>341</v>
      </c>
      <c r="D86" s="195"/>
      <c r="E86" s="480"/>
    </row>
    <row r="87" spans="1:5" x14ac:dyDescent="0.2">
      <c r="A87" s="485"/>
      <c r="B87" s="199" t="s">
        <v>342</v>
      </c>
      <c r="C87" s="200" t="s">
        <v>382</v>
      </c>
      <c r="D87" s="201" t="s">
        <v>821</v>
      </c>
      <c r="E87" s="483"/>
    </row>
    <row r="88" spans="1:5" x14ac:dyDescent="0.2">
      <c r="A88" s="486"/>
      <c r="B88" s="202" t="s">
        <v>822</v>
      </c>
      <c r="C88" s="203" t="s">
        <v>1180</v>
      </c>
      <c r="D88" s="204" t="s">
        <v>821</v>
      </c>
      <c r="E88" s="487"/>
    </row>
    <row r="89" spans="1:5" x14ac:dyDescent="0.2">
      <c r="A89" s="486"/>
      <c r="B89" s="202" t="s">
        <v>1181</v>
      </c>
      <c r="C89" s="203" t="s">
        <v>65</v>
      </c>
      <c r="D89" s="204" t="s">
        <v>821</v>
      </c>
      <c r="E89" s="487"/>
    </row>
    <row r="90" spans="1:5" ht="13.5" thickBot="1" x14ac:dyDescent="0.25">
      <c r="A90" s="489"/>
      <c r="B90" s="209" t="s">
        <v>66</v>
      </c>
      <c r="C90" s="205" t="s">
        <v>120</v>
      </c>
      <c r="D90" s="220" t="s">
        <v>821</v>
      </c>
      <c r="E90" s="488"/>
    </row>
    <row r="91" spans="1:5" ht="18.75" customHeight="1" thickBot="1" x14ac:dyDescent="0.25">
      <c r="A91" s="65"/>
      <c r="B91" s="221">
        <v>8117</v>
      </c>
      <c r="C91" s="222" t="s">
        <v>121</v>
      </c>
      <c r="D91" s="223"/>
      <c r="E91" s="480"/>
    </row>
    <row r="92" spans="1:5" x14ac:dyDescent="0.2">
      <c r="A92" s="485"/>
      <c r="B92" s="199" t="s">
        <v>122</v>
      </c>
      <c r="C92" s="200" t="s">
        <v>123</v>
      </c>
      <c r="D92" s="201" t="s">
        <v>124</v>
      </c>
      <c r="E92" s="483"/>
    </row>
    <row r="93" spans="1:5" ht="13.5" thickBot="1" x14ac:dyDescent="0.25">
      <c r="A93" s="489"/>
      <c r="B93" s="202" t="s">
        <v>125</v>
      </c>
      <c r="C93" s="203" t="s">
        <v>190</v>
      </c>
      <c r="D93" s="204" t="s">
        <v>305</v>
      </c>
      <c r="E93" s="487"/>
    </row>
    <row r="94" spans="1:5" ht="18.75" customHeight="1" thickBot="1" x14ac:dyDescent="0.25">
      <c r="A94" s="65"/>
      <c r="B94" s="217">
        <v>8118</v>
      </c>
      <c r="C94" s="194" t="s">
        <v>720</v>
      </c>
      <c r="D94" s="195"/>
      <c r="E94" s="480"/>
    </row>
    <row r="95" spans="1:5" ht="13.5" thickBot="1" x14ac:dyDescent="0.25">
      <c r="A95" s="63"/>
      <c r="B95" s="196" t="s">
        <v>910</v>
      </c>
      <c r="C95" s="197" t="s">
        <v>911</v>
      </c>
      <c r="D95" s="198" t="s">
        <v>912</v>
      </c>
      <c r="E95" s="482"/>
    </row>
    <row r="96" spans="1:5" s="15" customFormat="1" ht="13.7" customHeight="1" thickBot="1" x14ac:dyDescent="0.25">
      <c r="A96" s="65"/>
      <c r="B96" s="20">
        <v>8200</v>
      </c>
      <c r="C96" s="21" t="s">
        <v>913</v>
      </c>
      <c r="D96" s="64"/>
      <c r="E96" s="480"/>
    </row>
    <row r="97" spans="1:5" ht="18.75" customHeight="1" thickBot="1" x14ac:dyDescent="0.25">
      <c r="A97" s="65"/>
      <c r="B97" s="224">
        <v>8201</v>
      </c>
      <c r="C97" s="225" t="s">
        <v>914</v>
      </c>
      <c r="D97" s="213"/>
      <c r="E97" s="495"/>
    </row>
    <row r="98" spans="1:5" x14ac:dyDescent="0.2">
      <c r="A98" s="485"/>
      <c r="B98" s="199" t="s">
        <v>915</v>
      </c>
      <c r="C98" s="197" t="s">
        <v>1150</v>
      </c>
      <c r="D98" s="198"/>
      <c r="E98" s="482"/>
    </row>
    <row r="99" spans="1:5" x14ac:dyDescent="0.2">
      <c r="A99" s="486"/>
      <c r="B99" s="202" t="s">
        <v>1151</v>
      </c>
      <c r="C99" s="203" t="s">
        <v>1152</v>
      </c>
      <c r="D99" s="204"/>
      <c r="E99" s="487"/>
    </row>
    <row r="100" spans="1:5" ht="13.5" thickBot="1" x14ac:dyDescent="0.25">
      <c r="A100" s="489"/>
      <c r="B100" s="214" t="s">
        <v>1153</v>
      </c>
      <c r="C100" s="215" t="s">
        <v>791</v>
      </c>
      <c r="D100" s="216" t="s">
        <v>652</v>
      </c>
      <c r="E100" s="491"/>
    </row>
    <row r="101" spans="1:5" ht="18.75" customHeight="1" thickBot="1" x14ac:dyDescent="0.25">
      <c r="A101" s="65"/>
      <c r="B101" s="193">
        <v>8203</v>
      </c>
      <c r="C101" s="194" t="s">
        <v>1079</v>
      </c>
      <c r="D101" s="195"/>
      <c r="E101" s="480"/>
    </row>
    <row r="102" spans="1:5" x14ac:dyDescent="0.2">
      <c r="A102" s="485"/>
      <c r="B102" s="196" t="s">
        <v>1080</v>
      </c>
      <c r="C102" s="197" t="s">
        <v>735</v>
      </c>
      <c r="D102" s="198" t="s">
        <v>487</v>
      </c>
      <c r="E102" s="482"/>
    </row>
    <row r="103" spans="1:5" ht="13.5" thickBot="1" x14ac:dyDescent="0.25">
      <c r="A103" s="489"/>
      <c r="B103" s="202" t="s">
        <v>488</v>
      </c>
      <c r="C103" s="203" t="s">
        <v>89</v>
      </c>
      <c r="D103" s="204" t="s">
        <v>90</v>
      </c>
      <c r="E103" s="487"/>
    </row>
    <row r="104" spans="1:5" ht="18.75" customHeight="1" thickBot="1" x14ac:dyDescent="0.25">
      <c r="A104" s="65"/>
      <c r="B104" s="226">
        <v>8204</v>
      </c>
      <c r="C104" s="210" t="s">
        <v>860</v>
      </c>
      <c r="D104" s="195"/>
      <c r="E104" s="480"/>
    </row>
    <row r="105" spans="1:5" x14ac:dyDescent="0.2">
      <c r="A105" s="485"/>
      <c r="B105" s="196" t="s">
        <v>861</v>
      </c>
      <c r="C105" s="197" t="s">
        <v>862</v>
      </c>
      <c r="D105" s="204" t="s">
        <v>863</v>
      </c>
      <c r="E105" s="482"/>
    </row>
    <row r="106" spans="1:5" ht="13.5" thickBot="1" x14ac:dyDescent="0.25">
      <c r="A106" s="489"/>
      <c r="B106" s="202" t="s">
        <v>864</v>
      </c>
      <c r="C106" s="203" t="s">
        <v>913</v>
      </c>
      <c r="D106" s="204" t="s">
        <v>780</v>
      </c>
      <c r="E106" s="487"/>
    </row>
    <row r="107" spans="1:5" ht="18.75" customHeight="1" thickBot="1" x14ac:dyDescent="0.25">
      <c r="A107" s="65"/>
      <c r="B107" s="226">
        <v>8205</v>
      </c>
      <c r="C107" s="210" t="s">
        <v>781</v>
      </c>
      <c r="D107" s="195"/>
      <c r="E107" s="480"/>
    </row>
    <row r="108" spans="1:5" x14ac:dyDescent="0.2">
      <c r="A108" s="485"/>
      <c r="B108" s="196" t="s">
        <v>782</v>
      </c>
      <c r="C108" s="197" t="s">
        <v>783</v>
      </c>
      <c r="D108" s="198" t="s">
        <v>62</v>
      </c>
      <c r="E108" s="482"/>
    </row>
    <row r="109" spans="1:5" ht="13.5" thickBot="1" x14ac:dyDescent="0.25">
      <c r="A109" s="489"/>
      <c r="B109" s="209" t="s">
        <v>647</v>
      </c>
      <c r="C109" s="205" t="s">
        <v>165</v>
      </c>
      <c r="D109" s="216" t="s">
        <v>744</v>
      </c>
      <c r="E109" s="491"/>
    </row>
    <row r="110" spans="1:5" ht="18.75" customHeight="1" thickBot="1" x14ac:dyDescent="0.25">
      <c r="A110" s="65"/>
      <c r="B110" s="226">
        <v>8206</v>
      </c>
      <c r="C110" s="210" t="s">
        <v>563</v>
      </c>
      <c r="D110" s="195"/>
      <c r="E110" s="480"/>
    </row>
    <row r="111" spans="1:5" x14ac:dyDescent="0.2">
      <c r="A111" s="485"/>
      <c r="B111" s="196" t="s">
        <v>564</v>
      </c>
      <c r="C111" s="197" t="s">
        <v>767</v>
      </c>
      <c r="D111" s="198"/>
      <c r="E111" s="482"/>
    </row>
    <row r="112" spans="1:5" ht="13.5" thickBot="1" x14ac:dyDescent="0.25">
      <c r="A112" s="489"/>
      <c r="B112" s="202" t="s">
        <v>768</v>
      </c>
      <c r="C112" s="203" t="s">
        <v>299</v>
      </c>
      <c r="D112" s="204" t="s">
        <v>744</v>
      </c>
      <c r="E112" s="487"/>
    </row>
    <row r="113" spans="1:5" ht="18.75" customHeight="1" thickBot="1" x14ac:dyDescent="0.25">
      <c r="A113" s="65"/>
      <c r="B113" s="227">
        <v>8207</v>
      </c>
      <c r="C113" s="208" t="s">
        <v>300</v>
      </c>
      <c r="D113" s="228"/>
      <c r="E113" s="496"/>
    </row>
    <row r="114" spans="1:5" s="22" customFormat="1" x14ac:dyDescent="0.2">
      <c r="A114" s="485"/>
      <c r="B114" s="196" t="s">
        <v>301</v>
      </c>
      <c r="C114" s="197" t="s">
        <v>302</v>
      </c>
      <c r="D114" s="198"/>
      <c r="E114" s="482"/>
    </row>
    <row r="115" spans="1:5" s="23" customFormat="1" x14ac:dyDescent="0.2">
      <c r="A115" s="486"/>
      <c r="B115" s="202" t="s">
        <v>1161</v>
      </c>
      <c r="C115" s="203" t="s">
        <v>1176</v>
      </c>
      <c r="D115" s="204"/>
      <c r="E115" s="487"/>
    </row>
    <row r="116" spans="1:5" s="24" customFormat="1" ht="13.5" thickBot="1" x14ac:dyDescent="0.25">
      <c r="A116" s="490"/>
      <c r="B116" s="214" t="s">
        <v>1177</v>
      </c>
      <c r="C116" s="215" t="s">
        <v>1178</v>
      </c>
      <c r="D116" s="216"/>
      <c r="E116" s="491"/>
    </row>
    <row r="117" spans="1:5" ht="22.7" customHeight="1" thickBot="1" x14ac:dyDescent="0.25">
      <c r="A117" s="1203" t="s">
        <v>918</v>
      </c>
      <c r="B117" s="1204"/>
      <c r="C117" s="1204"/>
      <c r="D117" s="1204"/>
      <c r="E117" s="1205"/>
    </row>
    <row r="118" spans="1:5" ht="70.5" customHeight="1" thickBot="1" x14ac:dyDescent="0.25">
      <c r="A118" s="477" t="s">
        <v>491</v>
      </c>
      <c r="B118" s="14" t="s">
        <v>295</v>
      </c>
      <c r="C118" s="15"/>
      <c r="D118" s="16" t="s">
        <v>492</v>
      </c>
      <c r="E118" s="16" t="s">
        <v>493</v>
      </c>
    </row>
    <row r="119" spans="1:5" ht="13.5" thickBot="1" x14ac:dyDescent="0.25">
      <c r="A119" s="65"/>
      <c r="B119" s="17">
        <v>8200</v>
      </c>
      <c r="C119" s="18" t="s">
        <v>913</v>
      </c>
      <c r="D119" s="63"/>
      <c r="E119" s="479"/>
    </row>
    <row r="120" spans="1:5" ht="16.5" customHeight="1" thickBot="1" x14ac:dyDescent="0.25">
      <c r="A120" s="65"/>
      <c r="B120" s="226">
        <v>8207</v>
      </c>
      <c r="C120" s="210" t="s">
        <v>667</v>
      </c>
      <c r="D120" s="195"/>
      <c r="E120" s="478"/>
    </row>
    <row r="121" spans="1:5" x14ac:dyDescent="0.2">
      <c r="A121" s="485"/>
      <c r="B121" s="199" t="s">
        <v>301</v>
      </c>
      <c r="C121" s="200" t="s">
        <v>668</v>
      </c>
      <c r="D121" s="201"/>
      <c r="E121" s="483"/>
    </row>
    <row r="122" spans="1:5" ht="13.5" thickBot="1" x14ac:dyDescent="0.25">
      <c r="A122" s="489"/>
      <c r="B122" s="199" t="s">
        <v>1161</v>
      </c>
      <c r="C122" s="203" t="s">
        <v>669</v>
      </c>
      <c r="D122" s="204"/>
      <c r="E122" s="487"/>
    </row>
    <row r="123" spans="1:5" ht="16.5" customHeight="1" thickBot="1" x14ac:dyDescent="0.25">
      <c r="A123" s="65"/>
      <c r="B123" s="226">
        <v>8208</v>
      </c>
      <c r="C123" s="208" t="s">
        <v>670</v>
      </c>
      <c r="D123" s="195"/>
      <c r="E123" s="480"/>
    </row>
    <row r="124" spans="1:5" x14ac:dyDescent="0.2">
      <c r="A124" s="485"/>
      <c r="B124" s="199" t="s">
        <v>671</v>
      </c>
      <c r="C124" s="197" t="s">
        <v>672</v>
      </c>
      <c r="D124" s="198" t="s">
        <v>111</v>
      </c>
      <c r="E124" s="482"/>
    </row>
    <row r="125" spans="1:5" x14ac:dyDescent="0.2">
      <c r="A125" s="486"/>
      <c r="B125" s="202" t="s">
        <v>112</v>
      </c>
      <c r="C125" s="203" t="s">
        <v>1126</v>
      </c>
      <c r="D125" s="204" t="s">
        <v>387</v>
      </c>
      <c r="E125" s="487"/>
    </row>
    <row r="126" spans="1:5" x14ac:dyDescent="0.2">
      <c r="A126" s="486"/>
      <c r="B126" s="202" t="s">
        <v>388</v>
      </c>
      <c r="C126" s="203" t="s">
        <v>389</v>
      </c>
      <c r="D126" s="204" t="s">
        <v>216</v>
      </c>
      <c r="E126" s="487"/>
    </row>
    <row r="127" spans="1:5" ht="13.5" thickBot="1" x14ac:dyDescent="0.25">
      <c r="A127" s="489"/>
      <c r="B127" s="229" t="s">
        <v>217</v>
      </c>
      <c r="C127" s="203" t="s">
        <v>357</v>
      </c>
      <c r="D127" s="204" t="s">
        <v>1113</v>
      </c>
      <c r="E127" s="487"/>
    </row>
    <row r="128" spans="1:5" ht="16.5" customHeight="1" thickBot="1" x14ac:dyDescent="0.25">
      <c r="A128" s="65"/>
      <c r="B128" s="20">
        <v>8300</v>
      </c>
      <c r="C128" s="21" t="s">
        <v>218</v>
      </c>
      <c r="D128" s="64"/>
      <c r="E128" s="480"/>
    </row>
    <row r="129" spans="1:5" ht="16.5" customHeight="1" thickBot="1" x14ac:dyDescent="0.25">
      <c r="A129" s="65"/>
      <c r="B129" s="193">
        <v>8301</v>
      </c>
      <c r="C129" s="194" t="s">
        <v>219</v>
      </c>
      <c r="D129" s="195"/>
      <c r="E129" s="480"/>
    </row>
    <row r="130" spans="1:5" x14ac:dyDescent="0.2">
      <c r="A130" s="485"/>
      <c r="B130" s="199" t="s">
        <v>220</v>
      </c>
      <c r="C130" s="197" t="s">
        <v>10</v>
      </c>
      <c r="D130" s="198" t="s">
        <v>877</v>
      </c>
      <c r="E130" s="482"/>
    </row>
    <row r="131" spans="1:5" ht="13.5" thickBot="1" x14ac:dyDescent="0.25">
      <c r="A131" s="489"/>
      <c r="B131" s="202" t="s">
        <v>878</v>
      </c>
      <c r="C131" s="203" t="s">
        <v>879</v>
      </c>
      <c r="D131" s="204" t="s">
        <v>632</v>
      </c>
      <c r="E131" s="487"/>
    </row>
    <row r="132" spans="1:5" ht="16.5" customHeight="1" thickBot="1" x14ac:dyDescent="0.25">
      <c r="A132" s="65"/>
      <c r="B132" s="226">
        <v>8302</v>
      </c>
      <c r="C132" s="210" t="s">
        <v>633</v>
      </c>
      <c r="D132" s="195"/>
      <c r="E132" s="480"/>
    </row>
    <row r="133" spans="1:5" x14ac:dyDescent="0.2">
      <c r="A133" s="485"/>
      <c r="B133" s="196" t="s">
        <v>634</v>
      </c>
      <c r="C133" s="197" t="s">
        <v>659</v>
      </c>
      <c r="D133" s="198"/>
      <c r="E133" s="482"/>
    </row>
    <row r="134" spans="1:5" x14ac:dyDescent="0.2">
      <c r="A134" s="486"/>
      <c r="B134" s="199" t="s">
        <v>660</v>
      </c>
      <c r="C134" s="200" t="s">
        <v>142</v>
      </c>
      <c r="D134" s="201"/>
      <c r="E134" s="483"/>
    </row>
    <row r="135" spans="1:5" x14ac:dyDescent="0.2">
      <c r="A135" s="486"/>
      <c r="B135" s="199" t="s">
        <v>709</v>
      </c>
      <c r="C135" s="200" t="s">
        <v>1108</v>
      </c>
      <c r="D135" s="201"/>
      <c r="E135" s="483"/>
    </row>
    <row r="136" spans="1:5" x14ac:dyDescent="0.2">
      <c r="A136" s="486"/>
      <c r="B136" s="199" t="s">
        <v>75</v>
      </c>
      <c r="C136" s="200" t="s">
        <v>1129</v>
      </c>
      <c r="D136" s="201"/>
      <c r="E136" s="483"/>
    </row>
    <row r="137" spans="1:5" x14ac:dyDescent="0.2">
      <c r="A137" s="486"/>
      <c r="B137" s="199" t="s">
        <v>221</v>
      </c>
      <c r="C137" s="200" t="s">
        <v>222</v>
      </c>
      <c r="D137" s="201"/>
      <c r="E137" s="483"/>
    </row>
    <row r="138" spans="1:5" x14ac:dyDescent="0.2">
      <c r="A138" s="486"/>
      <c r="B138" s="199" t="s">
        <v>223</v>
      </c>
      <c r="C138" s="200" t="s">
        <v>320</v>
      </c>
      <c r="D138" s="201"/>
      <c r="E138" s="483"/>
    </row>
    <row r="139" spans="1:5" ht="13.5" thickBot="1" x14ac:dyDescent="0.25">
      <c r="A139" s="489"/>
      <c r="B139" s="202" t="s">
        <v>321</v>
      </c>
      <c r="C139" s="203" t="s">
        <v>322</v>
      </c>
      <c r="D139" s="204" t="s">
        <v>323</v>
      </c>
      <c r="E139" s="487"/>
    </row>
    <row r="140" spans="1:5" ht="16.5" customHeight="1" thickBot="1" x14ac:dyDescent="0.25">
      <c r="A140" s="65"/>
      <c r="B140" s="226">
        <v>8303</v>
      </c>
      <c r="C140" s="210" t="s">
        <v>404</v>
      </c>
      <c r="D140" s="195"/>
      <c r="E140" s="480"/>
    </row>
    <row r="141" spans="1:5" x14ac:dyDescent="0.2">
      <c r="A141" s="485"/>
      <c r="B141" s="196" t="s">
        <v>405</v>
      </c>
      <c r="C141" s="197" t="s">
        <v>306</v>
      </c>
      <c r="D141" s="198" t="s">
        <v>940</v>
      </c>
      <c r="E141" s="482"/>
    </row>
    <row r="142" spans="1:5" x14ac:dyDescent="0.2">
      <c r="A142" s="486"/>
      <c r="B142" s="202" t="s">
        <v>941</v>
      </c>
      <c r="C142" s="203" t="s">
        <v>942</v>
      </c>
      <c r="D142" s="204" t="s">
        <v>943</v>
      </c>
      <c r="E142" s="487"/>
    </row>
    <row r="143" spans="1:5" x14ac:dyDescent="0.2">
      <c r="A143" s="486"/>
      <c r="B143" s="202" t="s">
        <v>944</v>
      </c>
      <c r="C143" s="203" t="s">
        <v>945</v>
      </c>
      <c r="D143" s="204" t="s">
        <v>946</v>
      </c>
      <c r="E143" s="487"/>
    </row>
    <row r="144" spans="1:5" x14ac:dyDescent="0.2">
      <c r="A144" s="486"/>
      <c r="B144" s="202" t="s">
        <v>947</v>
      </c>
      <c r="C144" s="203" t="s">
        <v>249</v>
      </c>
      <c r="D144" s="204"/>
      <c r="E144" s="487"/>
    </row>
    <row r="145" spans="1:5" ht="13.5" thickBot="1" x14ac:dyDescent="0.25">
      <c r="A145" s="489"/>
      <c r="B145" s="214" t="s">
        <v>250</v>
      </c>
      <c r="C145" s="215" t="s">
        <v>251</v>
      </c>
      <c r="D145" s="216"/>
      <c r="E145" s="491"/>
    </row>
    <row r="146" spans="1:5" ht="16.5" customHeight="1" thickBot="1" x14ac:dyDescent="0.25">
      <c r="A146" s="65"/>
      <c r="B146" s="193">
        <v>8304</v>
      </c>
      <c r="C146" s="194" t="s">
        <v>252</v>
      </c>
      <c r="D146" s="195"/>
      <c r="E146" s="480"/>
    </row>
    <row r="147" spans="1:5" x14ac:dyDescent="0.2">
      <c r="A147" s="485"/>
      <c r="B147" s="196" t="s">
        <v>253</v>
      </c>
      <c r="C147" s="197" t="s">
        <v>916</v>
      </c>
      <c r="D147" s="198"/>
      <c r="E147" s="482"/>
    </row>
    <row r="148" spans="1:5" ht="13.5" thickBot="1" x14ac:dyDescent="0.25">
      <c r="A148" s="489"/>
      <c r="B148" s="202" t="s">
        <v>917</v>
      </c>
      <c r="C148" s="230" t="s">
        <v>1162</v>
      </c>
      <c r="D148" s="204"/>
      <c r="E148" s="487"/>
    </row>
    <row r="149" spans="1:5" ht="16.5" customHeight="1" thickBot="1" x14ac:dyDescent="0.25">
      <c r="A149" s="65"/>
      <c r="B149" s="226">
        <v>8305</v>
      </c>
      <c r="C149" s="210" t="s">
        <v>1163</v>
      </c>
      <c r="D149" s="195"/>
      <c r="E149" s="480"/>
    </row>
    <row r="150" spans="1:5" x14ac:dyDescent="0.2">
      <c r="A150" s="485"/>
      <c r="B150" s="196" t="s">
        <v>397</v>
      </c>
      <c r="C150" s="197" t="s">
        <v>398</v>
      </c>
      <c r="D150" s="198" t="s">
        <v>399</v>
      </c>
      <c r="E150" s="482"/>
    </row>
    <row r="151" spans="1:5" ht="13.5" thickBot="1" x14ac:dyDescent="0.25">
      <c r="A151" s="489"/>
      <c r="B151" s="202" t="s">
        <v>400</v>
      </c>
      <c r="C151" s="203" t="s">
        <v>214</v>
      </c>
      <c r="D151" s="204" t="s">
        <v>215</v>
      </c>
      <c r="E151" s="487"/>
    </row>
    <row r="152" spans="1:5" ht="16.5" customHeight="1" thickBot="1" x14ac:dyDescent="0.25">
      <c r="A152" s="65"/>
      <c r="B152" s="227">
        <v>8306</v>
      </c>
      <c r="C152" s="208" t="s">
        <v>236</v>
      </c>
      <c r="D152" s="228"/>
      <c r="E152" s="496"/>
    </row>
    <row r="153" spans="1:5" x14ac:dyDescent="0.2">
      <c r="A153" s="485"/>
      <c r="B153" s="196" t="s">
        <v>237</v>
      </c>
      <c r="C153" s="197" t="s">
        <v>793</v>
      </c>
      <c r="D153" s="198" t="s">
        <v>238</v>
      </c>
      <c r="E153" s="482"/>
    </row>
    <row r="154" spans="1:5" ht="13.5" thickBot="1" x14ac:dyDescent="0.25">
      <c r="A154" s="490"/>
      <c r="B154" s="214" t="s">
        <v>1139</v>
      </c>
      <c r="C154" s="215" t="s">
        <v>837</v>
      </c>
      <c r="D154" s="216"/>
      <c r="E154" s="491"/>
    </row>
    <row r="155" spans="1:5" ht="19.5" customHeight="1" thickBot="1" x14ac:dyDescent="0.25">
      <c r="A155" s="1203" t="s">
        <v>918</v>
      </c>
      <c r="B155" s="1204"/>
      <c r="C155" s="1204"/>
      <c r="D155" s="1204"/>
      <c r="E155" s="1205"/>
    </row>
    <row r="156" spans="1:5" ht="66.75" customHeight="1" thickBot="1" x14ac:dyDescent="0.25">
      <c r="A156" s="477" t="s">
        <v>491</v>
      </c>
      <c r="B156" s="14" t="s">
        <v>295</v>
      </c>
      <c r="C156" s="15"/>
      <c r="D156" s="16" t="s">
        <v>492</v>
      </c>
      <c r="E156" s="16" t="s">
        <v>493</v>
      </c>
    </row>
    <row r="157" spans="1:5" ht="13.5" thickBot="1" x14ac:dyDescent="0.25">
      <c r="A157" s="65"/>
      <c r="B157" s="17">
        <v>8300</v>
      </c>
      <c r="C157" s="18" t="s">
        <v>218</v>
      </c>
      <c r="D157" s="63"/>
      <c r="E157" s="479"/>
    </row>
    <row r="158" spans="1:5" ht="14.25" customHeight="1" thickBot="1" x14ac:dyDescent="0.25">
      <c r="A158" s="65"/>
      <c r="B158" s="193">
        <v>8307</v>
      </c>
      <c r="C158" s="194" t="s">
        <v>1118</v>
      </c>
      <c r="D158" s="195"/>
      <c r="E158" s="478"/>
    </row>
    <row r="159" spans="1:5" x14ac:dyDescent="0.2">
      <c r="A159" s="485"/>
      <c r="B159" s="199" t="s">
        <v>1119</v>
      </c>
      <c r="C159" s="200" t="s">
        <v>344</v>
      </c>
      <c r="D159" s="201" t="s">
        <v>345</v>
      </c>
      <c r="E159" s="483"/>
    </row>
    <row r="160" spans="1:5" x14ac:dyDescent="0.2">
      <c r="A160" s="486"/>
      <c r="B160" s="199" t="s">
        <v>346</v>
      </c>
      <c r="C160" s="200" t="s">
        <v>46</v>
      </c>
      <c r="D160" s="201" t="s">
        <v>239</v>
      </c>
      <c r="E160" s="483"/>
    </row>
    <row r="161" spans="1:5" x14ac:dyDescent="0.2">
      <c r="A161" s="486"/>
      <c r="B161" s="199" t="s">
        <v>240</v>
      </c>
      <c r="C161" s="203" t="s">
        <v>372</v>
      </c>
      <c r="D161" s="204" t="s">
        <v>345</v>
      </c>
      <c r="E161" s="483"/>
    </row>
    <row r="162" spans="1:5" ht="13.5" thickBot="1" x14ac:dyDescent="0.25">
      <c r="A162" s="489"/>
      <c r="B162" s="199" t="s">
        <v>373</v>
      </c>
      <c r="C162" s="203" t="s">
        <v>357</v>
      </c>
      <c r="D162" s="204" t="s">
        <v>374</v>
      </c>
      <c r="E162" s="487"/>
    </row>
    <row r="163" spans="1:5" ht="14.25" customHeight="1" thickBot="1" x14ac:dyDescent="0.25">
      <c r="A163" s="65"/>
      <c r="B163" s="193">
        <v>8308</v>
      </c>
      <c r="C163" s="231" t="s">
        <v>375</v>
      </c>
      <c r="D163" s="195"/>
      <c r="E163" s="480"/>
    </row>
    <row r="164" spans="1:5" x14ac:dyDescent="0.2">
      <c r="A164" s="485"/>
      <c r="B164" s="199" t="s">
        <v>376</v>
      </c>
      <c r="C164" s="197" t="s">
        <v>377</v>
      </c>
      <c r="D164" s="198" t="s">
        <v>378</v>
      </c>
      <c r="E164" s="482"/>
    </row>
    <row r="165" spans="1:5" x14ac:dyDescent="0.2">
      <c r="A165" s="486"/>
      <c r="B165" s="199" t="s">
        <v>379</v>
      </c>
      <c r="C165" s="200" t="s">
        <v>40</v>
      </c>
      <c r="D165" s="201" t="s">
        <v>1167</v>
      </c>
      <c r="E165" s="483"/>
    </row>
    <row r="166" spans="1:5" ht="13.5" thickBot="1" x14ac:dyDescent="0.25">
      <c r="A166" s="489"/>
      <c r="B166" s="202" t="s">
        <v>1168</v>
      </c>
      <c r="C166" s="203" t="s">
        <v>1169</v>
      </c>
      <c r="D166" s="204"/>
      <c r="E166" s="487"/>
    </row>
    <row r="167" spans="1:5" ht="14.25" customHeight="1" thickBot="1" x14ac:dyDescent="0.25">
      <c r="A167" s="65"/>
      <c r="B167" s="226">
        <v>8309</v>
      </c>
      <c r="C167" s="210" t="s">
        <v>525</v>
      </c>
      <c r="D167" s="195"/>
      <c r="E167" s="478"/>
    </row>
    <row r="168" spans="1:5" x14ac:dyDescent="0.2">
      <c r="A168" s="485"/>
      <c r="B168" s="196" t="s">
        <v>526</v>
      </c>
      <c r="C168" s="197" t="s">
        <v>527</v>
      </c>
      <c r="D168" s="198" t="s">
        <v>412</v>
      </c>
      <c r="E168" s="482"/>
    </row>
    <row r="169" spans="1:5" ht="13.5" thickBot="1" x14ac:dyDescent="0.25">
      <c r="A169" s="486"/>
      <c r="B169" s="211" t="s">
        <v>413</v>
      </c>
      <c r="C169" s="212" t="s">
        <v>414</v>
      </c>
      <c r="D169" s="213" t="s">
        <v>57</v>
      </c>
      <c r="E169" s="497"/>
    </row>
    <row r="170" spans="1:5" ht="14.25" customHeight="1" thickBot="1" x14ac:dyDescent="0.25">
      <c r="A170" s="486"/>
      <c r="B170" s="217">
        <v>8310</v>
      </c>
      <c r="C170" s="194" t="s">
        <v>58</v>
      </c>
      <c r="D170" s="195"/>
      <c r="E170" s="478"/>
    </row>
    <row r="171" spans="1:5" ht="13.5" thickBot="1" x14ac:dyDescent="0.25">
      <c r="A171" s="489"/>
      <c r="B171" s="232" t="s">
        <v>59</v>
      </c>
      <c r="C171" s="233" t="s">
        <v>60</v>
      </c>
      <c r="D171" s="228" t="s">
        <v>61</v>
      </c>
      <c r="E171" s="498"/>
    </row>
    <row r="172" spans="1:5" ht="13.5" thickBot="1" x14ac:dyDescent="0.25">
      <c r="A172" s="65"/>
      <c r="B172" s="20">
        <v>8400</v>
      </c>
      <c r="C172" s="21" t="s">
        <v>624</v>
      </c>
      <c r="D172" s="195"/>
      <c r="E172" s="480"/>
    </row>
    <row r="173" spans="1:5" ht="15.75" customHeight="1" thickBot="1" x14ac:dyDescent="0.25">
      <c r="A173" s="65"/>
      <c r="B173" s="193">
        <v>8401</v>
      </c>
      <c r="C173" s="194" t="s">
        <v>625</v>
      </c>
      <c r="D173" s="195"/>
      <c r="E173" s="480"/>
    </row>
    <row r="174" spans="1:5" ht="13.5" thickBot="1" x14ac:dyDescent="0.25">
      <c r="A174" s="63"/>
      <c r="B174" s="202" t="s">
        <v>626</v>
      </c>
      <c r="C174" s="203" t="s">
        <v>627</v>
      </c>
      <c r="D174" s="204" t="s">
        <v>628</v>
      </c>
      <c r="E174" s="487"/>
    </row>
    <row r="175" spans="1:5" ht="15.75" customHeight="1" thickBot="1" x14ac:dyDescent="0.25">
      <c r="A175" s="65"/>
      <c r="B175" s="193">
        <v>8402</v>
      </c>
      <c r="C175" s="194" t="s">
        <v>307</v>
      </c>
      <c r="D175" s="195"/>
      <c r="E175" s="480"/>
    </row>
    <row r="176" spans="1:5" x14ac:dyDescent="0.2">
      <c r="A176" s="485"/>
      <c r="B176" s="196" t="s">
        <v>308</v>
      </c>
      <c r="C176" s="197" t="s">
        <v>473</v>
      </c>
      <c r="D176" s="198" t="s">
        <v>680</v>
      </c>
      <c r="E176" s="482"/>
    </row>
    <row r="177" spans="1:5" x14ac:dyDescent="0.2">
      <c r="A177" s="486"/>
      <c r="B177" s="199" t="s">
        <v>681</v>
      </c>
      <c r="C177" s="200" t="s">
        <v>445</v>
      </c>
      <c r="D177" s="201" t="s">
        <v>446</v>
      </c>
      <c r="E177" s="483"/>
    </row>
    <row r="178" spans="1:5" x14ac:dyDescent="0.2">
      <c r="A178" s="486"/>
      <c r="B178" s="199" t="s">
        <v>682</v>
      </c>
      <c r="C178" s="200" t="s">
        <v>360</v>
      </c>
      <c r="D178" s="201" t="s">
        <v>683</v>
      </c>
      <c r="E178" s="483"/>
    </row>
    <row r="179" spans="1:5" x14ac:dyDescent="0.2">
      <c r="A179" s="486"/>
      <c r="B179" s="199" t="s">
        <v>684</v>
      </c>
      <c r="C179" s="200" t="s">
        <v>184</v>
      </c>
      <c r="D179" s="201" t="s">
        <v>1184</v>
      </c>
      <c r="E179" s="483"/>
    </row>
    <row r="180" spans="1:5" ht="13.5" thickBot="1" x14ac:dyDescent="0.25">
      <c r="A180" s="489"/>
      <c r="B180" s="199" t="s">
        <v>685</v>
      </c>
      <c r="C180" s="200" t="s">
        <v>872</v>
      </c>
      <c r="D180" s="201" t="s">
        <v>489</v>
      </c>
      <c r="E180" s="483"/>
    </row>
    <row r="181" spans="1:5" ht="18" customHeight="1" thickBot="1" x14ac:dyDescent="0.25">
      <c r="A181" s="65"/>
      <c r="B181" s="226">
        <v>8403</v>
      </c>
      <c r="C181" s="210" t="s">
        <v>686</v>
      </c>
      <c r="D181" s="195"/>
      <c r="E181" s="480"/>
    </row>
    <row r="182" spans="1:5" ht="13.5" thickBot="1" x14ac:dyDescent="0.25">
      <c r="A182" s="63"/>
      <c r="B182" s="196" t="s">
        <v>687</v>
      </c>
      <c r="C182" s="197" t="s">
        <v>688</v>
      </c>
      <c r="D182" s="198" t="s">
        <v>521</v>
      </c>
      <c r="E182" s="482"/>
    </row>
    <row r="183" spans="1:5" ht="14.25" customHeight="1" thickBot="1" x14ac:dyDescent="0.25">
      <c r="A183" s="65"/>
      <c r="B183" s="227">
        <v>8404</v>
      </c>
      <c r="C183" s="208" t="s">
        <v>7</v>
      </c>
      <c r="D183" s="228"/>
      <c r="E183" s="496"/>
    </row>
    <row r="184" spans="1:5" x14ac:dyDescent="0.2">
      <c r="A184" s="485"/>
      <c r="B184" s="196" t="s">
        <v>451</v>
      </c>
      <c r="C184" s="197" t="s">
        <v>452</v>
      </c>
      <c r="D184" s="198" t="s">
        <v>211</v>
      </c>
      <c r="E184" s="482"/>
    </row>
    <row r="185" spans="1:5" x14ac:dyDescent="0.2">
      <c r="A185" s="486"/>
      <c r="B185" s="202" t="s">
        <v>212</v>
      </c>
      <c r="C185" s="203" t="s">
        <v>213</v>
      </c>
      <c r="D185" s="204" t="s">
        <v>130</v>
      </c>
      <c r="E185" s="487"/>
    </row>
    <row r="186" spans="1:5" x14ac:dyDescent="0.2">
      <c r="A186" s="486"/>
      <c r="B186" s="202" t="s">
        <v>131</v>
      </c>
      <c r="C186" s="203" t="s">
        <v>168</v>
      </c>
      <c r="D186" s="204" t="s">
        <v>169</v>
      </c>
      <c r="E186" s="487"/>
    </row>
    <row r="187" spans="1:5" x14ac:dyDescent="0.2">
      <c r="A187" s="486"/>
      <c r="B187" s="202" t="s">
        <v>170</v>
      </c>
      <c r="C187" s="203" t="s">
        <v>192</v>
      </c>
      <c r="D187" s="204" t="s">
        <v>1110</v>
      </c>
      <c r="E187" s="487"/>
    </row>
    <row r="188" spans="1:5" ht="13.5" thickBot="1" x14ac:dyDescent="0.25">
      <c r="A188" s="489"/>
      <c r="B188" s="214" t="s">
        <v>1111</v>
      </c>
      <c r="C188" s="215" t="s">
        <v>481</v>
      </c>
      <c r="D188" s="216" t="s">
        <v>597</v>
      </c>
      <c r="E188" s="491"/>
    </row>
    <row r="189" spans="1:5" ht="14.25" customHeight="1" thickBot="1" x14ac:dyDescent="0.25">
      <c r="A189" s="65"/>
      <c r="B189" s="234">
        <v>8405</v>
      </c>
      <c r="C189" s="235" t="s">
        <v>598</v>
      </c>
      <c r="D189" s="220"/>
      <c r="E189" s="499"/>
    </row>
    <row r="190" spans="1:5" x14ac:dyDescent="0.2">
      <c r="A190" s="485"/>
      <c r="B190" s="196" t="s">
        <v>599</v>
      </c>
      <c r="C190" s="197" t="s">
        <v>452</v>
      </c>
      <c r="D190" s="198" t="s">
        <v>211</v>
      </c>
      <c r="E190" s="482"/>
    </row>
    <row r="191" spans="1:5" x14ac:dyDescent="0.2">
      <c r="A191" s="486"/>
      <c r="B191" s="202" t="s">
        <v>600</v>
      </c>
      <c r="C191" s="203" t="s">
        <v>213</v>
      </c>
      <c r="D191" s="204" t="s">
        <v>130</v>
      </c>
      <c r="E191" s="487"/>
    </row>
    <row r="192" spans="1:5" x14ac:dyDescent="0.2">
      <c r="A192" s="486"/>
      <c r="B192" s="202" t="s">
        <v>601</v>
      </c>
      <c r="C192" s="203" t="s">
        <v>168</v>
      </c>
      <c r="D192" s="204" t="s">
        <v>169</v>
      </c>
      <c r="E192" s="487"/>
    </row>
    <row r="193" spans="1:5" x14ac:dyDescent="0.2">
      <c r="A193" s="486"/>
      <c r="B193" s="202" t="s">
        <v>602</v>
      </c>
      <c r="C193" s="203" t="s">
        <v>192</v>
      </c>
      <c r="D193" s="204" t="s">
        <v>1110</v>
      </c>
      <c r="E193" s="487"/>
    </row>
    <row r="194" spans="1:5" ht="13.5" thickBot="1" x14ac:dyDescent="0.25">
      <c r="A194" s="490"/>
      <c r="B194" s="214" t="s">
        <v>603</v>
      </c>
      <c r="C194" s="215" t="s">
        <v>481</v>
      </c>
      <c r="D194" s="216" t="s">
        <v>636</v>
      </c>
      <c r="E194" s="491"/>
    </row>
    <row r="195" spans="1:5" ht="22.7" customHeight="1" thickBot="1" x14ac:dyDescent="0.25">
      <c r="A195" s="1203" t="s">
        <v>918</v>
      </c>
      <c r="B195" s="1204"/>
      <c r="C195" s="1204"/>
      <c r="D195" s="1204"/>
      <c r="E195" s="1205"/>
    </row>
    <row r="196" spans="1:5" ht="70.5" customHeight="1" thickBot="1" x14ac:dyDescent="0.25">
      <c r="A196" s="477" t="s">
        <v>491</v>
      </c>
      <c r="B196" s="14" t="s">
        <v>295</v>
      </c>
      <c r="C196" s="15"/>
      <c r="D196" s="16" t="s">
        <v>492</v>
      </c>
      <c r="E196" s="16" t="s">
        <v>493</v>
      </c>
    </row>
    <row r="197" spans="1:5" ht="13.5" thickBot="1" x14ac:dyDescent="0.25">
      <c r="A197" s="65"/>
      <c r="B197" s="17">
        <v>8400</v>
      </c>
      <c r="C197" s="18" t="s">
        <v>624</v>
      </c>
      <c r="D197" s="63"/>
      <c r="E197" s="479"/>
    </row>
    <row r="198" spans="1:5" ht="20.25" customHeight="1" thickBot="1" x14ac:dyDescent="0.25">
      <c r="A198" s="65"/>
      <c r="B198" s="226">
        <v>8406</v>
      </c>
      <c r="C198" s="210" t="s">
        <v>637</v>
      </c>
      <c r="D198" s="195"/>
      <c r="E198" s="480"/>
    </row>
    <row r="199" spans="1:5" x14ac:dyDescent="0.2">
      <c r="A199" s="485"/>
      <c r="B199" s="196" t="s">
        <v>1092</v>
      </c>
      <c r="C199" s="197" t="s">
        <v>452</v>
      </c>
      <c r="D199" s="198" t="s">
        <v>211</v>
      </c>
      <c r="E199" s="482"/>
    </row>
    <row r="200" spans="1:5" x14ac:dyDescent="0.2">
      <c r="A200" s="486"/>
      <c r="B200" s="202" t="s">
        <v>1093</v>
      </c>
      <c r="C200" s="203" t="s">
        <v>213</v>
      </c>
      <c r="D200" s="204" t="s">
        <v>130</v>
      </c>
      <c r="E200" s="487"/>
    </row>
    <row r="201" spans="1:5" x14ac:dyDescent="0.2">
      <c r="A201" s="486"/>
      <c r="B201" s="202" t="s">
        <v>1094</v>
      </c>
      <c r="C201" s="203" t="s">
        <v>168</v>
      </c>
      <c r="D201" s="204" t="s">
        <v>169</v>
      </c>
      <c r="E201" s="487"/>
    </row>
    <row r="202" spans="1:5" x14ac:dyDescent="0.2">
      <c r="A202" s="486"/>
      <c r="B202" s="202" t="s">
        <v>1095</v>
      </c>
      <c r="C202" s="203" t="s">
        <v>192</v>
      </c>
      <c r="D202" s="204" t="s">
        <v>1110</v>
      </c>
      <c r="E202" s="487"/>
    </row>
    <row r="203" spans="1:5" ht="13.5" thickBot="1" x14ac:dyDescent="0.25">
      <c r="A203" s="489"/>
      <c r="B203" s="214" t="s">
        <v>1111</v>
      </c>
      <c r="C203" s="215" t="s">
        <v>481</v>
      </c>
      <c r="D203" s="216" t="s">
        <v>347</v>
      </c>
      <c r="E203" s="491"/>
    </row>
    <row r="204" spans="1:5" ht="20.25" customHeight="1" thickBot="1" x14ac:dyDescent="0.25">
      <c r="A204" s="65"/>
      <c r="B204" s="227">
        <v>8407</v>
      </c>
      <c r="C204" s="208" t="s">
        <v>348</v>
      </c>
      <c r="D204" s="228"/>
      <c r="E204" s="500"/>
    </row>
    <row r="205" spans="1:5" x14ac:dyDescent="0.2">
      <c r="A205" s="485"/>
      <c r="B205" s="196" t="s">
        <v>349</v>
      </c>
      <c r="C205" s="197" t="s">
        <v>953</v>
      </c>
      <c r="D205" s="198" t="s">
        <v>81</v>
      </c>
      <c r="E205" s="482"/>
    </row>
    <row r="206" spans="1:5" x14ac:dyDescent="0.2">
      <c r="A206" s="486"/>
      <c r="B206" s="202" t="s">
        <v>82</v>
      </c>
      <c r="C206" s="203" t="s">
        <v>750</v>
      </c>
      <c r="D206" s="204" t="s">
        <v>795</v>
      </c>
      <c r="E206" s="487"/>
    </row>
    <row r="207" spans="1:5" x14ac:dyDescent="0.2">
      <c r="A207" s="486"/>
      <c r="B207" s="202" t="s">
        <v>796</v>
      </c>
      <c r="C207" s="203" t="s">
        <v>513</v>
      </c>
      <c r="D207" s="204" t="s">
        <v>714</v>
      </c>
      <c r="E207" s="487"/>
    </row>
    <row r="208" spans="1:5" x14ac:dyDescent="0.2">
      <c r="A208" s="486"/>
      <c r="B208" s="202" t="s">
        <v>715</v>
      </c>
      <c r="C208" s="203" t="s">
        <v>517</v>
      </c>
      <c r="D208" s="204" t="s">
        <v>537</v>
      </c>
      <c r="E208" s="487"/>
    </row>
    <row r="209" spans="1:5" x14ac:dyDescent="0.2">
      <c r="A209" s="486"/>
      <c r="B209" s="202" t="s">
        <v>538</v>
      </c>
      <c r="C209" s="203" t="s">
        <v>277</v>
      </c>
      <c r="D209" s="204" t="s">
        <v>723</v>
      </c>
      <c r="E209" s="487"/>
    </row>
    <row r="210" spans="1:5" x14ac:dyDescent="0.2">
      <c r="A210" s="486"/>
      <c r="B210" s="202" t="s">
        <v>724</v>
      </c>
      <c r="C210" s="203" t="s">
        <v>725</v>
      </c>
      <c r="D210" s="204" t="s">
        <v>85</v>
      </c>
      <c r="E210" s="487"/>
    </row>
    <row r="211" spans="1:5" x14ac:dyDescent="0.2">
      <c r="A211" s="486"/>
      <c r="B211" s="202" t="s">
        <v>86</v>
      </c>
      <c r="C211" s="203" t="s">
        <v>151</v>
      </c>
      <c r="D211" s="204" t="s">
        <v>152</v>
      </c>
      <c r="E211" s="487"/>
    </row>
    <row r="212" spans="1:5" x14ac:dyDescent="0.2">
      <c r="A212" s="486"/>
      <c r="B212" s="202" t="s">
        <v>153</v>
      </c>
      <c r="C212" s="203" t="s">
        <v>663</v>
      </c>
      <c r="D212" s="204" t="s">
        <v>664</v>
      </c>
      <c r="E212" s="487"/>
    </row>
    <row r="213" spans="1:5" x14ac:dyDescent="0.2">
      <c r="A213" s="486"/>
      <c r="B213" s="202" t="s">
        <v>665</v>
      </c>
      <c r="C213" s="203" t="s">
        <v>666</v>
      </c>
      <c r="D213" s="204" t="s">
        <v>19</v>
      </c>
      <c r="E213" s="487"/>
    </row>
    <row r="214" spans="1:5" ht="15.75" customHeight="1" x14ac:dyDescent="0.2">
      <c r="A214" s="486"/>
      <c r="B214" s="202" t="s">
        <v>20</v>
      </c>
      <c r="C214" s="236" t="s">
        <v>21</v>
      </c>
      <c r="D214" s="204"/>
      <c r="E214" s="487"/>
    </row>
    <row r="215" spans="1:5" x14ac:dyDescent="0.2">
      <c r="A215" s="486"/>
      <c r="B215" s="202" t="s">
        <v>22</v>
      </c>
      <c r="C215" s="203" t="s">
        <v>350</v>
      </c>
      <c r="D215" s="204" t="s">
        <v>664</v>
      </c>
      <c r="E215" s="487"/>
    </row>
    <row r="216" spans="1:5" x14ac:dyDescent="0.2">
      <c r="A216" s="486"/>
      <c r="B216" s="202" t="s">
        <v>351</v>
      </c>
      <c r="C216" s="203" t="s">
        <v>950</v>
      </c>
      <c r="D216" s="204"/>
      <c r="E216" s="487"/>
    </row>
    <row r="217" spans="1:5" x14ac:dyDescent="0.2">
      <c r="A217" s="486"/>
      <c r="B217" s="202" t="s">
        <v>951</v>
      </c>
      <c r="C217" s="203" t="s">
        <v>1008</v>
      </c>
      <c r="D217" s="204"/>
      <c r="E217" s="487"/>
    </row>
    <row r="218" spans="1:5" x14ac:dyDescent="0.2">
      <c r="A218" s="486"/>
      <c r="B218" s="202" t="s">
        <v>1009</v>
      </c>
      <c r="C218" s="203" t="s">
        <v>1010</v>
      </c>
      <c r="D218" s="204"/>
      <c r="E218" s="487"/>
    </row>
    <row r="219" spans="1:5" ht="25.5" x14ac:dyDescent="0.2">
      <c r="A219" s="486"/>
      <c r="B219" s="202" t="s">
        <v>1011</v>
      </c>
      <c r="C219" s="236" t="s">
        <v>114</v>
      </c>
      <c r="D219" s="204"/>
      <c r="E219" s="487"/>
    </row>
    <row r="220" spans="1:5" ht="25.5" x14ac:dyDescent="0.2">
      <c r="A220" s="486"/>
      <c r="B220" s="202" t="s">
        <v>784</v>
      </c>
      <c r="C220" s="236" t="s">
        <v>785</v>
      </c>
      <c r="D220" s="204"/>
      <c r="E220" s="487"/>
    </row>
    <row r="221" spans="1:5" x14ac:dyDescent="0.2">
      <c r="A221" s="486"/>
      <c r="B221" s="202" t="s">
        <v>786</v>
      </c>
      <c r="C221" s="203" t="s">
        <v>886</v>
      </c>
      <c r="D221" s="204"/>
      <c r="E221" s="487"/>
    </row>
    <row r="222" spans="1:5" ht="15" customHeight="1" x14ac:dyDescent="0.2">
      <c r="A222" s="486"/>
      <c r="B222" s="202" t="s">
        <v>887</v>
      </c>
      <c r="C222" s="236" t="s">
        <v>888</v>
      </c>
      <c r="D222" s="204"/>
      <c r="E222" s="487"/>
    </row>
    <row r="223" spans="1:5" x14ac:dyDescent="0.2">
      <c r="A223" s="486"/>
      <c r="B223" s="202" t="s">
        <v>889</v>
      </c>
      <c r="C223" s="203" t="s">
        <v>890</v>
      </c>
      <c r="D223" s="204"/>
      <c r="E223" s="487"/>
    </row>
    <row r="224" spans="1:5" x14ac:dyDescent="0.2">
      <c r="A224" s="486"/>
      <c r="B224" s="202" t="s">
        <v>891</v>
      </c>
      <c r="C224" s="203" t="s">
        <v>318</v>
      </c>
      <c r="D224" s="204"/>
      <c r="E224" s="487"/>
    </row>
    <row r="225" spans="1:5" ht="25.5" x14ac:dyDescent="0.2">
      <c r="A225" s="486"/>
      <c r="B225" s="202" t="s">
        <v>319</v>
      </c>
      <c r="C225" s="236" t="s">
        <v>176</v>
      </c>
      <c r="D225" s="204"/>
      <c r="E225" s="487"/>
    </row>
    <row r="226" spans="1:5" x14ac:dyDescent="0.2">
      <c r="A226" s="486"/>
      <c r="B226" s="202" t="s">
        <v>177</v>
      </c>
      <c r="C226" s="203" t="s">
        <v>178</v>
      </c>
      <c r="D226" s="204"/>
      <c r="E226" s="487"/>
    </row>
    <row r="227" spans="1:5" x14ac:dyDescent="0.2">
      <c r="A227" s="486"/>
      <c r="B227" s="202" t="s">
        <v>179</v>
      </c>
      <c r="C227" s="203" t="s">
        <v>589</v>
      </c>
      <c r="D227" s="204"/>
      <c r="E227" s="487"/>
    </row>
    <row r="228" spans="1:5" x14ac:dyDescent="0.2">
      <c r="A228" s="486"/>
      <c r="B228" s="202" t="s">
        <v>161</v>
      </c>
      <c r="C228" s="203" t="s">
        <v>162</v>
      </c>
      <c r="D228" s="204"/>
      <c r="E228" s="487"/>
    </row>
    <row r="229" spans="1:5" ht="13.5" thickBot="1" x14ac:dyDescent="0.25">
      <c r="A229" s="490"/>
      <c r="B229" s="214" t="s">
        <v>163</v>
      </c>
      <c r="C229" s="215" t="s">
        <v>407</v>
      </c>
      <c r="D229" s="216" t="s">
        <v>408</v>
      </c>
      <c r="E229" s="491"/>
    </row>
    <row r="230" spans="1:5" ht="22.7" customHeight="1" thickBot="1" x14ac:dyDescent="0.25">
      <c r="A230" s="1203" t="s">
        <v>918</v>
      </c>
      <c r="B230" s="1204"/>
      <c r="C230" s="1204"/>
      <c r="D230" s="1204"/>
      <c r="E230" s="1205"/>
    </row>
    <row r="231" spans="1:5" ht="71.45" customHeight="1" thickBot="1" x14ac:dyDescent="0.25">
      <c r="A231" s="477" t="s">
        <v>491</v>
      </c>
      <c r="B231" s="14" t="s">
        <v>295</v>
      </c>
      <c r="C231" s="15"/>
      <c r="D231" s="16" t="s">
        <v>492</v>
      </c>
      <c r="E231" s="16" t="s">
        <v>493</v>
      </c>
    </row>
    <row r="232" spans="1:5" ht="13.5" thickBot="1" x14ac:dyDescent="0.25">
      <c r="A232" s="65"/>
      <c r="B232" s="20">
        <v>8400</v>
      </c>
      <c r="C232" s="21" t="s">
        <v>624</v>
      </c>
      <c r="D232" s="65"/>
      <c r="E232" s="478"/>
    </row>
    <row r="233" spans="1:5" ht="25.5" x14ac:dyDescent="0.2">
      <c r="A233" s="486"/>
      <c r="B233" s="199" t="s">
        <v>409</v>
      </c>
      <c r="C233" s="238" t="s">
        <v>565</v>
      </c>
      <c r="D233" s="201" t="s">
        <v>566</v>
      </c>
      <c r="E233" s="483"/>
    </row>
    <row r="234" spans="1:5" x14ac:dyDescent="0.2">
      <c r="A234" s="486"/>
      <c r="B234" s="237" t="s">
        <v>567</v>
      </c>
      <c r="C234" s="203" t="s">
        <v>568</v>
      </c>
      <c r="D234" s="204" t="s">
        <v>569</v>
      </c>
      <c r="E234" s="487"/>
    </row>
    <row r="235" spans="1:5" ht="25.5" x14ac:dyDescent="0.2">
      <c r="A235" s="486"/>
      <c r="B235" s="202" t="s">
        <v>570</v>
      </c>
      <c r="C235" s="236" t="s">
        <v>115</v>
      </c>
      <c r="D235" s="204" t="s">
        <v>571</v>
      </c>
      <c r="E235" s="487"/>
    </row>
    <row r="236" spans="1:5" ht="13.5" thickBot="1" x14ac:dyDescent="0.25">
      <c r="A236" s="489"/>
      <c r="B236" s="209" t="s">
        <v>572</v>
      </c>
      <c r="C236" s="205" t="s">
        <v>573</v>
      </c>
      <c r="D236" s="206" t="s">
        <v>574</v>
      </c>
      <c r="E236" s="488"/>
    </row>
    <row r="237" spans="1:5" ht="15.75" customHeight="1" thickBot="1" x14ac:dyDescent="0.25">
      <c r="A237" s="490"/>
      <c r="B237" s="193">
        <v>8409</v>
      </c>
      <c r="C237" s="194" t="s">
        <v>575</v>
      </c>
      <c r="D237" s="195"/>
      <c r="E237" s="480"/>
    </row>
    <row r="238" spans="1:5" x14ac:dyDescent="0.2">
      <c r="A238" s="485"/>
      <c r="B238" s="199" t="s">
        <v>136</v>
      </c>
      <c r="C238" s="197" t="s">
        <v>452</v>
      </c>
      <c r="D238" s="198" t="s">
        <v>137</v>
      </c>
      <c r="E238" s="501"/>
    </row>
    <row r="239" spans="1:5" x14ac:dyDescent="0.2">
      <c r="A239" s="486"/>
      <c r="B239" s="199" t="s">
        <v>138</v>
      </c>
      <c r="C239" s="200" t="s">
        <v>139</v>
      </c>
      <c r="D239" s="201" t="s">
        <v>664</v>
      </c>
      <c r="E239" s="502"/>
    </row>
    <row r="240" spans="1:5" x14ac:dyDescent="0.2">
      <c r="A240" s="486"/>
      <c r="B240" s="199" t="s">
        <v>140</v>
      </c>
      <c r="C240" s="200" t="s">
        <v>141</v>
      </c>
      <c r="D240" s="201" t="s">
        <v>166</v>
      </c>
      <c r="E240" s="502"/>
    </row>
    <row r="241" spans="1:5" x14ac:dyDescent="0.2">
      <c r="A241" s="486"/>
      <c r="B241" s="209" t="s">
        <v>167</v>
      </c>
      <c r="C241" s="205" t="s">
        <v>1148</v>
      </c>
      <c r="D241" s="206"/>
      <c r="E241" s="503"/>
    </row>
    <row r="242" spans="1:5" ht="13.5" thickBot="1" x14ac:dyDescent="0.25">
      <c r="A242" s="489"/>
      <c r="B242" s="214" t="s">
        <v>922</v>
      </c>
      <c r="C242" s="215" t="s">
        <v>385</v>
      </c>
      <c r="D242" s="216" t="s">
        <v>539</v>
      </c>
      <c r="E242" s="504"/>
    </row>
    <row r="243" spans="1:5" ht="15.75" customHeight="1" thickBot="1" x14ac:dyDescent="0.25">
      <c r="A243" s="65"/>
      <c r="B243" s="193">
        <v>8410</v>
      </c>
      <c r="C243" s="194" t="s">
        <v>273</v>
      </c>
      <c r="D243" s="195"/>
      <c r="E243" s="505"/>
    </row>
    <row r="244" spans="1:5" x14ac:dyDescent="0.2">
      <c r="A244" s="485"/>
      <c r="B244" s="199" t="s">
        <v>274</v>
      </c>
      <c r="C244" s="200" t="s">
        <v>452</v>
      </c>
      <c r="D244" s="198" t="s">
        <v>275</v>
      </c>
      <c r="E244" s="502"/>
    </row>
    <row r="245" spans="1:5" x14ac:dyDescent="0.2">
      <c r="A245" s="486"/>
      <c r="B245" s="202" t="s">
        <v>276</v>
      </c>
      <c r="C245" s="203" t="s">
        <v>435</v>
      </c>
      <c r="D245" s="204" t="s">
        <v>436</v>
      </c>
      <c r="E245" s="506"/>
    </row>
    <row r="246" spans="1:5" x14ac:dyDescent="0.2">
      <c r="A246" s="486"/>
      <c r="B246" s="202" t="s">
        <v>826</v>
      </c>
      <c r="C246" s="203" t="s">
        <v>827</v>
      </c>
      <c r="D246" s="204" t="s">
        <v>971</v>
      </c>
      <c r="E246" s="506"/>
    </row>
    <row r="247" spans="1:5" x14ac:dyDescent="0.2">
      <c r="A247" s="486"/>
      <c r="B247" s="202" t="s">
        <v>972</v>
      </c>
      <c r="C247" s="203" t="s">
        <v>141</v>
      </c>
      <c r="D247" s="204" t="s">
        <v>664</v>
      </c>
      <c r="E247" s="506"/>
    </row>
    <row r="248" spans="1:5" x14ac:dyDescent="0.2">
      <c r="A248" s="486"/>
      <c r="B248" s="199" t="s">
        <v>973</v>
      </c>
      <c r="C248" s="200" t="s">
        <v>974</v>
      </c>
      <c r="D248" s="201" t="s">
        <v>334</v>
      </c>
      <c r="E248" s="502"/>
    </row>
    <row r="249" spans="1:5" ht="13.5" thickBot="1" x14ac:dyDescent="0.25">
      <c r="A249" s="489"/>
      <c r="B249" s="209" t="s">
        <v>1127</v>
      </c>
      <c r="C249" s="205" t="s">
        <v>1128</v>
      </c>
      <c r="D249" s="206"/>
      <c r="E249" s="503"/>
    </row>
    <row r="250" spans="1:5" ht="15.75" customHeight="1" thickBot="1" x14ac:dyDescent="0.25">
      <c r="A250" s="65"/>
      <c r="B250" s="193">
        <v>8411</v>
      </c>
      <c r="C250" s="239" t="s">
        <v>802</v>
      </c>
      <c r="D250" s="195"/>
      <c r="E250" s="507"/>
    </row>
    <row r="251" spans="1:5" x14ac:dyDescent="0.2">
      <c r="A251" s="485"/>
      <c r="B251" s="199" t="s">
        <v>803</v>
      </c>
      <c r="C251" s="200" t="s">
        <v>804</v>
      </c>
      <c r="D251" s="201" t="s">
        <v>805</v>
      </c>
      <c r="E251" s="502"/>
    </row>
    <row r="252" spans="1:5" x14ac:dyDescent="0.2">
      <c r="A252" s="486"/>
      <c r="B252" s="202" t="s">
        <v>806</v>
      </c>
      <c r="C252" s="203" t="s">
        <v>807</v>
      </c>
      <c r="D252" s="204" t="s">
        <v>579</v>
      </c>
      <c r="E252" s="506"/>
    </row>
    <row r="253" spans="1:5" ht="13.5" thickBot="1" x14ac:dyDescent="0.25">
      <c r="A253" s="489"/>
      <c r="B253" s="214" t="s">
        <v>808</v>
      </c>
      <c r="C253" s="215" t="s">
        <v>809</v>
      </c>
      <c r="D253" s="216" t="s">
        <v>865</v>
      </c>
      <c r="E253" s="504"/>
    </row>
    <row r="254" spans="1:5" ht="15.75" customHeight="1" thickBot="1" x14ac:dyDescent="0.25">
      <c r="A254" s="65"/>
      <c r="B254" s="193">
        <v>8412</v>
      </c>
      <c r="C254" s="239" t="s">
        <v>866</v>
      </c>
      <c r="D254" s="195"/>
      <c r="E254" s="507"/>
    </row>
    <row r="255" spans="1:5" x14ac:dyDescent="0.2">
      <c r="A255" s="485"/>
      <c r="B255" s="199" t="s">
        <v>867</v>
      </c>
      <c r="C255" s="200" t="s">
        <v>17</v>
      </c>
      <c r="D255" s="201" t="s">
        <v>761</v>
      </c>
      <c r="E255" s="502"/>
    </row>
    <row r="256" spans="1:5" x14ac:dyDescent="0.2">
      <c r="A256" s="486"/>
      <c r="B256" s="202" t="s">
        <v>762</v>
      </c>
      <c r="C256" s="203" t="s">
        <v>763</v>
      </c>
      <c r="D256" s="204" t="s">
        <v>695</v>
      </c>
      <c r="E256" s="506"/>
    </row>
    <row r="257" spans="1:5" ht="13.5" thickBot="1" x14ac:dyDescent="0.25">
      <c r="A257" s="489"/>
      <c r="B257" s="209" t="s">
        <v>696</v>
      </c>
      <c r="C257" s="205" t="s">
        <v>697</v>
      </c>
      <c r="D257" s="206" t="s">
        <v>787</v>
      </c>
      <c r="E257" s="503"/>
    </row>
    <row r="258" spans="1:5" ht="15.75" customHeight="1" thickBot="1" x14ac:dyDescent="0.25">
      <c r="A258" s="65"/>
      <c r="B258" s="226">
        <v>8413</v>
      </c>
      <c r="C258" s="210" t="s">
        <v>294</v>
      </c>
      <c r="D258" s="195"/>
      <c r="E258" s="507"/>
    </row>
    <row r="259" spans="1:5" x14ac:dyDescent="0.2">
      <c r="A259" s="485"/>
      <c r="B259" s="199" t="s">
        <v>1042</v>
      </c>
      <c r="C259" s="200" t="s">
        <v>1043</v>
      </c>
      <c r="D259" s="201" t="s">
        <v>1044</v>
      </c>
      <c r="E259" s="502"/>
    </row>
    <row r="260" spans="1:5" ht="13.5" thickBot="1" x14ac:dyDescent="0.25">
      <c r="A260" s="490"/>
      <c r="B260" s="214" t="s">
        <v>1045</v>
      </c>
      <c r="C260" s="215" t="s">
        <v>833</v>
      </c>
      <c r="D260" s="216"/>
      <c r="E260" s="504"/>
    </row>
    <row r="261" spans="1:5" ht="18" customHeight="1" thickBot="1" x14ac:dyDescent="0.25">
      <c r="A261" s="1203" t="s">
        <v>918</v>
      </c>
      <c r="B261" s="1204"/>
      <c r="C261" s="1204"/>
      <c r="D261" s="1204"/>
      <c r="E261" s="1205"/>
    </row>
    <row r="262" spans="1:5" ht="67.7" customHeight="1" thickBot="1" x14ac:dyDescent="0.25">
      <c r="A262" s="477" t="s">
        <v>491</v>
      </c>
      <c r="B262" s="14" t="s">
        <v>295</v>
      </c>
      <c r="C262" s="15"/>
      <c r="D262" s="16" t="s">
        <v>492</v>
      </c>
      <c r="E262" s="16" t="s">
        <v>493</v>
      </c>
    </row>
    <row r="263" spans="1:5" ht="13.5" thickBot="1" x14ac:dyDescent="0.25">
      <c r="A263" s="65"/>
      <c r="B263" s="17">
        <v>8500</v>
      </c>
      <c r="C263" s="18" t="s">
        <v>834</v>
      </c>
      <c r="D263" s="63"/>
      <c r="E263" s="479"/>
    </row>
    <row r="264" spans="1:5" ht="17.45" customHeight="1" thickBot="1" x14ac:dyDescent="0.25">
      <c r="A264" s="65"/>
      <c r="B264" s="240">
        <v>8501</v>
      </c>
      <c r="C264" s="231" t="s">
        <v>975</v>
      </c>
      <c r="D264" s="228"/>
      <c r="E264" s="508"/>
    </row>
    <row r="265" spans="1:5" x14ac:dyDescent="0.2">
      <c r="A265" s="485"/>
      <c r="B265" s="196" t="s">
        <v>1120</v>
      </c>
      <c r="C265" s="197" t="s">
        <v>1121</v>
      </c>
      <c r="D265" s="198" t="s">
        <v>485</v>
      </c>
      <c r="E265" s="482"/>
    </row>
    <row r="266" spans="1:5" ht="13.5" thickBot="1" x14ac:dyDescent="0.25">
      <c r="A266" s="489"/>
      <c r="B266" s="214" t="s">
        <v>486</v>
      </c>
      <c r="C266" s="215" t="s">
        <v>39</v>
      </c>
      <c r="D266" s="216" t="s">
        <v>173</v>
      </c>
      <c r="E266" s="491"/>
    </row>
    <row r="267" spans="1:5" ht="17.45" customHeight="1" thickBot="1" x14ac:dyDescent="0.25">
      <c r="A267" s="65"/>
      <c r="B267" s="241">
        <v>8502</v>
      </c>
      <c r="C267" s="242" t="s">
        <v>174</v>
      </c>
      <c r="D267" s="220"/>
      <c r="E267" s="499"/>
    </row>
    <row r="268" spans="1:5" x14ac:dyDescent="0.2">
      <c r="A268" s="485"/>
      <c r="B268" s="196" t="s">
        <v>175</v>
      </c>
      <c r="C268" s="197" t="s">
        <v>38</v>
      </c>
      <c r="D268" s="198" t="s">
        <v>1026</v>
      </c>
      <c r="E268" s="482"/>
    </row>
    <row r="269" spans="1:5" x14ac:dyDescent="0.2">
      <c r="A269" s="486"/>
      <c r="B269" s="202" t="s">
        <v>1027</v>
      </c>
      <c r="C269" s="203" t="s">
        <v>1028</v>
      </c>
      <c r="D269" s="204" t="s">
        <v>1026</v>
      </c>
      <c r="E269" s="487"/>
    </row>
    <row r="270" spans="1:5" x14ac:dyDescent="0.2">
      <c r="A270" s="486"/>
      <c r="B270" s="202" t="s">
        <v>1029</v>
      </c>
      <c r="C270" s="203" t="s">
        <v>1030</v>
      </c>
      <c r="D270" s="204" t="s">
        <v>1026</v>
      </c>
      <c r="E270" s="487"/>
    </row>
    <row r="271" spans="1:5" x14ac:dyDescent="0.2">
      <c r="A271" s="486"/>
      <c r="B271" s="202" t="s">
        <v>1031</v>
      </c>
      <c r="C271" s="203" t="s">
        <v>689</v>
      </c>
      <c r="D271" s="204" t="s">
        <v>447</v>
      </c>
      <c r="E271" s="487"/>
    </row>
    <row r="272" spans="1:5" x14ac:dyDescent="0.2">
      <c r="A272" s="486"/>
      <c r="B272" s="202" t="s">
        <v>448</v>
      </c>
      <c r="C272" s="203" t="s">
        <v>449</v>
      </c>
      <c r="D272" s="204" t="s">
        <v>447</v>
      </c>
      <c r="E272" s="487"/>
    </row>
    <row r="273" spans="1:5" ht="13.5" thickBot="1" x14ac:dyDescent="0.25">
      <c r="A273" s="489"/>
      <c r="B273" s="214" t="s">
        <v>1136</v>
      </c>
      <c r="C273" s="215" t="s">
        <v>1137</v>
      </c>
      <c r="D273" s="216" t="s">
        <v>1026</v>
      </c>
      <c r="E273" s="491"/>
    </row>
    <row r="274" spans="1:5" ht="17.45" customHeight="1" thickBot="1" x14ac:dyDescent="0.25">
      <c r="A274" s="65"/>
      <c r="B274" s="241">
        <v>8503</v>
      </c>
      <c r="C274" s="242" t="s">
        <v>244</v>
      </c>
      <c r="D274" s="220"/>
      <c r="E274" s="499"/>
    </row>
    <row r="275" spans="1:5" x14ac:dyDescent="0.2">
      <c r="A275" s="485"/>
      <c r="B275" s="196" t="s">
        <v>1115</v>
      </c>
      <c r="C275" s="197" t="s">
        <v>1116</v>
      </c>
      <c r="D275" s="198" t="s">
        <v>529</v>
      </c>
      <c r="E275" s="482"/>
    </row>
    <row r="276" spans="1:5" x14ac:dyDescent="0.2">
      <c r="A276" s="486"/>
      <c r="B276" s="202" t="s">
        <v>530</v>
      </c>
      <c r="C276" s="203" t="s">
        <v>531</v>
      </c>
      <c r="D276" s="204" t="s">
        <v>532</v>
      </c>
      <c r="E276" s="487"/>
    </row>
    <row r="277" spans="1:5" x14ac:dyDescent="0.2">
      <c r="A277" s="486"/>
      <c r="B277" s="202" t="s">
        <v>533</v>
      </c>
      <c r="C277" s="203" t="s">
        <v>534</v>
      </c>
      <c r="D277" s="204" t="s">
        <v>447</v>
      </c>
      <c r="E277" s="487"/>
    </row>
    <row r="278" spans="1:5" x14ac:dyDescent="0.2">
      <c r="A278" s="486"/>
      <c r="B278" s="202" t="s">
        <v>535</v>
      </c>
      <c r="C278" s="203" t="s">
        <v>902</v>
      </c>
      <c r="D278" s="204" t="s">
        <v>173</v>
      </c>
      <c r="E278" s="487"/>
    </row>
    <row r="279" spans="1:5" x14ac:dyDescent="0.2">
      <c r="A279" s="486"/>
      <c r="B279" s="202" t="s">
        <v>903</v>
      </c>
      <c r="C279" s="203" t="s">
        <v>904</v>
      </c>
      <c r="D279" s="204" t="s">
        <v>98</v>
      </c>
      <c r="E279" s="487"/>
    </row>
    <row r="280" spans="1:5" x14ac:dyDescent="0.2">
      <c r="A280" s="486"/>
      <c r="B280" s="202" t="s">
        <v>99</v>
      </c>
      <c r="C280" s="203" t="s">
        <v>100</v>
      </c>
      <c r="D280" s="204" t="s">
        <v>101</v>
      </c>
      <c r="E280" s="487"/>
    </row>
    <row r="281" spans="1:5" x14ac:dyDescent="0.2">
      <c r="A281" s="486"/>
      <c r="B281" s="202" t="s">
        <v>102</v>
      </c>
      <c r="C281" s="203" t="s">
        <v>103</v>
      </c>
      <c r="D281" s="204" t="s">
        <v>101</v>
      </c>
      <c r="E281" s="487"/>
    </row>
    <row r="282" spans="1:5" x14ac:dyDescent="0.2">
      <c r="A282" s="486"/>
      <c r="B282" s="202" t="s">
        <v>104</v>
      </c>
      <c r="C282" s="203" t="s">
        <v>105</v>
      </c>
      <c r="D282" s="204" t="s">
        <v>106</v>
      </c>
      <c r="E282" s="487"/>
    </row>
    <row r="283" spans="1:5" x14ac:dyDescent="0.2">
      <c r="A283" s="486"/>
      <c r="B283" s="202" t="s">
        <v>107</v>
      </c>
      <c r="C283" s="203" t="s">
        <v>108</v>
      </c>
      <c r="D283" s="204" t="s">
        <v>109</v>
      </c>
      <c r="E283" s="487"/>
    </row>
    <row r="284" spans="1:5" x14ac:dyDescent="0.2">
      <c r="A284" s="486"/>
      <c r="B284" s="202" t="s">
        <v>110</v>
      </c>
      <c r="C284" s="203" t="s">
        <v>1166</v>
      </c>
      <c r="D284" s="204" t="s">
        <v>772</v>
      </c>
      <c r="E284" s="509"/>
    </row>
    <row r="285" spans="1:5" x14ac:dyDescent="0.2">
      <c r="A285" s="486"/>
      <c r="B285" s="202" t="s">
        <v>773</v>
      </c>
      <c r="C285" s="203" t="s">
        <v>774</v>
      </c>
      <c r="D285" s="204" t="s">
        <v>775</v>
      </c>
      <c r="E285" s="487"/>
    </row>
    <row r="286" spans="1:5" x14ac:dyDescent="0.2">
      <c r="A286" s="486"/>
      <c r="B286" s="202" t="s">
        <v>776</v>
      </c>
      <c r="C286" s="203" t="s">
        <v>777</v>
      </c>
      <c r="D286" s="204" t="s">
        <v>775</v>
      </c>
      <c r="E286" s="488"/>
    </row>
    <row r="287" spans="1:5" ht="13.5" thickBot="1" x14ac:dyDescent="0.25">
      <c r="A287" s="489"/>
      <c r="B287" s="214" t="s">
        <v>778</v>
      </c>
      <c r="C287" s="205" t="s">
        <v>779</v>
      </c>
      <c r="D287" s="206" t="s">
        <v>810</v>
      </c>
      <c r="E287" s="488"/>
    </row>
    <row r="288" spans="1:5" ht="17.45" customHeight="1" thickBot="1" x14ac:dyDescent="0.25">
      <c r="A288" s="65"/>
      <c r="B288" s="226">
        <v>8504</v>
      </c>
      <c r="C288" s="210" t="s">
        <v>811</v>
      </c>
      <c r="D288" s="195"/>
      <c r="E288" s="480"/>
    </row>
    <row r="289" spans="1:5" x14ac:dyDescent="0.2">
      <c r="A289" s="485"/>
      <c r="B289" s="232" t="s">
        <v>812</v>
      </c>
      <c r="C289" s="233" t="s">
        <v>813</v>
      </c>
      <c r="D289" s="228" t="s">
        <v>23</v>
      </c>
      <c r="E289" s="482"/>
    </row>
    <row r="290" spans="1:5" x14ac:dyDescent="0.2">
      <c r="A290" s="486"/>
      <c r="B290" s="202" t="s">
        <v>24</v>
      </c>
      <c r="C290" s="203" t="s">
        <v>25</v>
      </c>
      <c r="D290" s="204" t="s">
        <v>26</v>
      </c>
      <c r="E290" s="509"/>
    </row>
    <row r="291" spans="1:5" s="3" customFormat="1" ht="13.5" thickBot="1" x14ac:dyDescent="0.25">
      <c r="A291" s="489"/>
      <c r="B291" s="211" t="s">
        <v>133</v>
      </c>
      <c r="C291" s="212" t="s">
        <v>134</v>
      </c>
      <c r="D291" s="213" t="s">
        <v>26</v>
      </c>
      <c r="E291" s="491"/>
    </row>
    <row r="292" spans="1:5" ht="17.45" customHeight="1" thickBot="1" x14ac:dyDescent="0.25">
      <c r="A292" s="65"/>
      <c r="B292" s="193">
        <v>8505</v>
      </c>
      <c r="C292" s="194" t="s">
        <v>135</v>
      </c>
      <c r="D292" s="195"/>
      <c r="E292" s="480"/>
    </row>
    <row r="293" spans="1:5" x14ac:dyDescent="0.2">
      <c r="A293" s="485"/>
      <c r="B293" s="196" t="s">
        <v>700</v>
      </c>
      <c r="C293" s="197" t="s">
        <v>701</v>
      </c>
      <c r="D293" s="198" t="s">
        <v>702</v>
      </c>
      <c r="E293" s="482"/>
    </row>
    <row r="294" spans="1:5" ht="13.5" thickBot="1" x14ac:dyDescent="0.25">
      <c r="A294" s="490"/>
      <c r="B294" s="214" t="s">
        <v>703</v>
      </c>
      <c r="C294" s="215" t="s">
        <v>704</v>
      </c>
      <c r="D294" s="216" t="s">
        <v>705</v>
      </c>
      <c r="E294" s="497"/>
    </row>
  </sheetData>
  <sheetProtection algorithmName="SHA-512" hashValue="NoQ9fAELrm9dNir70FQ/oeCuCKOtjB7RP95mkoOhclw4qx2S+StEX+bTfBH1FknmjOFP6klllbgQy0IqzzX/rA==" saltValue="4isu5v5/DjLnCPz4G6iCfg==" spinCount="100000" sheet="1" objects="1" scenarios="1"/>
  <mergeCells count="8">
    <mergeCell ref="A230:E230"/>
    <mergeCell ref="A261:E261"/>
    <mergeCell ref="A1:E1"/>
    <mergeCell ref="A39:E39"/>
    <mergeCell ref="A80:E80"/>
    <mergeCell ref="A117:E117"/>
    <mergeCell ref="A155:E155"/>
    <mergeCell ref="A195:E195"/>
  </mergeCells>
  <phoneticPr fontId="0" type="noConversion"/>
  <printOptions horizontalCentered="1"/>
  <pageMargins left="0.31496062992125984" right="0.39370078740157483" top="0.59055118110236227" bottom="0.59055118110236227" header="0.51181102362204722" footer="0.51181102362204722"/>
  <pageSetup paperSize="9" scale="80" orientation="landscape" r:id="rId1"/>
  <headerFooter alignWithMargins="0">
    <oddFooter>&amp;L&amp;8CKL TNK / VERSION 2025 / 1.1&amp;C&amp;8OMC-10&amp;R&amp;8&amp;P of &amp;N</oddFooter>
  </headerFooter>
  <rowBreaks count="7" manualBreakCount="7">
    <brk id="38" max="5" man="1"/>
    <brk id="79" max="16383" man="1"/>
    <brk id="116" max="16383" man="1"/>
    <brk id="154" max="16383" man="1"/>
    <brk id="194" max="16383" man="1"/>
    <brk id="229" max="16383" man="1"/>
    <brk id="260" max="5" man="1"/>
  </rowBreaks>
  <colBreaks count="1" manualBreakCount="1">
    <brk id="5" max="104857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Checklist - Basic Ship Oil</vt:lpstr>
      <vt:lpstr>Checklist - Ranking Ship Oil</vt:lpstr>
      <vt:lpstr>Ship - Total Score Review</vt:lpstr>
      <vt:lpstr>NOx Data Sheet</vt:lpstr>
      <vt:lpstr>Ship - CO2 - GloMEEP</vt:lpstr>
      <vt:lpstr>Visual</vt:lpstr>
      <vt:lpstr>Checklist - Visual Oil</vt:lpstr>
      <vt:lpstr>'Checklist - Basic Ship Oil'!Print_Area</vt:lpstr>
      <vt:lpstr>'Checklist - Ranking Ship Oil'!Print_Area</vt:lpstr>
      <vt:lpstr>'Checklist - Visual Oil'!Print_Area</vt:lpstr>
      <vt:lpstr>'NOx Data Sheet'!Print_Area</vt:lpstr>
      <vt:lpstr>'Ship - CO2 - GloMEEP'!Print_Area</vt:lpstr>
      <vt:lpstr>'Ship - Total Score Review'!Print_Area</vt:lpstr>
      <vt:lpstr>Visual!Print_Area</vt:lpstr>
      <vt:lpstr>'Checklist - Basic Ship Oil'!Print_Titles</vt:lpstr>
      <vt:lpstr>'Checklist - Ranking Ship Oil'!Print_Titles</vt:lpstr>
      <vt:lpstr>'NOx Data Sheet'!Print_Titles</vt:lpstr>
      <vt:lpstr>'Ship - CO2 - GloMEEP'!Print_Titles</vt:lpstr>
      <vt:lpstr>'Ship - Total Score Review'!Print_Titles</vt:lpstr>
      <vt:lpstr>'Ship - CO2 - GloMEEP'!PropulsionImprovements</vt:lpstr>
    </vt:vector>
  </TitlesOfParts>
  <Company>Green Award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 Award</dc:creator>
  <cp:lastModifiedBy>Shinohara, K. (Keita) - Green Award</cp:lastModifiedBy>
  <cp:lastPrinted>2025-08-29T14:02:01Z</cp:lastPrinted>
  <dcterms:created xsi:type="dcterms:W3CDTF">2001-05-28T13:46:28Z</dcterms:created>
  <dcterms:modified xsi:type="dcterms:W3CDTF">2026-01-22T13:44:47Z</dcterms:modified>
</cp:coreProperties>
</file>